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filterPrivacy="1" showInkAnnotation="0" codeName="ThisWorkbook" defaultThemeVersion="124226"/>
  <xr:revisionPtr revIDLastSave="0" documentId="8_{D8934F5E-BACE-4FE4-AE81-A33AB43E9916}" xr6:coauthVersionLast="36" xr6:coauthVersionMax="36" xr10:uidLastSave="{00000000-0000-0000-0000-000000000000}"/>
  <workbookProtection workbookAlgorithmName="SHA-256" workbookHashValue="23PXq3najccDXlp+JNeppE7nE0p0dMo6e04yamKZIjA=" workbookSaltValue="7h4oHYxWZ2DpXZ+XIwG3dA==" workbookSpinCount="100000" lockStructure="1"/>
  <bookViews>
    <workbookView xWindow="120" yWindow="390" windowWidth="12680" windowHeight="4770" xr2:uid="{00000000-000D-0000-FFFF-FFFF00000000}"/>
  </bookViews>
  <sheets>
    <sheet name="Entry Form" sheetId="4" r:id="rId1"/>
    <sheet name="Summary" sheetId="6" r:id="rId2"/>
    <sheet name="Formulas" sheetId="5" state="hidden" r:id="rId3"/>
    <sheet name="Text" sheetId="7" state="hidden" r:id="rId4"/>
    <sheet name="Agency reporting template" sheetId="1" state="hidden" r:id="rId5"/>
    <sheet name="A - Professional Fees" sheetId="3" state="hidden" r:id="rId6"/>
    <sheet name="List of Law Firms" sheetId="2" state="hidden" r:id="rId7"/>
  </sheets>
  <externalReferences>
    <externalReference r:id="rId8"/>
    <externalReference r:id="rId9"/>
  </externalReferences>
  <definedNames>
    <definedName name="_xlnm._FilterDatabase" localSheetId="0" hidden="1">'Entry Form'!$F$1:$G$409</definedName>
    <definedName name="_xlnm._FilterDatabase" localSheetId="2" hidden="1">Formulas!$B$1:$I$163</definedName>
    <definedName name="_ftn1" localSheetId="4">'Agency reporting template'!#REF!</definedName>
    <definedName name="_ftn2" localSheetId="4">'Agency reporting template'!#REF!</definedName>
    <definedName name="_ftn3" localSheetId="4">'Agency reporting template'!#REF!</definedName>
    <definedName name="_ftnref1" localSheetId="4">'Agency reporting template'!#REF!</definedName>
    <definedName name="_ftnref2" localSheetId="4">'Agency reporting template'!#REF!</definedName>
    <definedName name="_ftnref3" localSheetId="4">'Agency reporting template'!#REF!</definedName>
    <definedName name="_Hlk291055818" localSheetId="4">'Agency reporting template'!#REF!</definedName>
    <definedName name="abnumber">Formulas!$C$2:$C$163</definedName>
    <definedName name="agencyname">Formulas!$B$2:$B$163</definedName>
    <definedName name="B">Formulas!$R$2:$R$3</definedName>
    <definedName name="check">Formulas!$L$2:$L$3</definedName>
    <definedName name="counselnumbers">'Entry Form'!$C$91,'Entry Form'!$C$88,'Entry Form'!$C$85,'Entry Form'!$C$79,'Entry Form'!$C$76,'Entry Form'!$C$73,'Entry Form'!$C$66,'Entry Form'!$C$63,'Entry Form'!$C$60,'Entry Form'!$C$54,'Entry Form'!$C$51,'Entry Form'!$C$48</definedName>
    <definedName name="counselsum">'Entry Form'!$C$49,'Entry Form'!$C$52,'Entry Form'!$C$55,'Entry Form'!$C$61,'Entry Form'!$C$64,'Entry Form'!$C$67,'Entry Form'!$C$74,'Entry Form'!$C$77,'Entry Form'!$C$80,'Entry Form'!$C$86,'Entry Form'!$C$89,'Entry Form'!$C$92</definedName>
    <definedName name="data">[1]Sheet3!$A$2:$D$161</definedName>
    <definedName name="directnumbers">'Entry Form'!$C$48,'Entry Form'!$C$51,'Entry Form'!$C$54,'Entry Form'!$C$73,'Entry Form'!$C$76,'Entry Form'!$C$79</definedName>
    <definedName name="directsum">'Entry Form'!$C$80,'Entry Form'!$C$77,'Entry Form'!$C$74,'Entry Form'!$C$55,'Entry Form'!$C$52,'Entry Form'!$C$49</definedName>
    <definedName name="domestic">'Entry Form'!$A$164:$A$401</definedName>
    <definedName name="E">Formulas!$Q$2:$Q$3</definedName>
    <definedName name="entitytype">Formulas!$D$2:$D$163</definedName>
    <definedName name="entryinput">'Entry Form'!$C$161:$C$406,'Entry Form'!$C$157,'Entry Form'!$C$155,'Entry Form'!$C$151,'Entry Form'!$C$149,'Entry Form'!$C$147,'Entry Form'!$C$145,'Entry Form'!$C$141,'Entry Form'!$C$131,'Entry Form'!$C$129,'Entry Form'!$C$128,'Entry Form'!$C$126,'Entry Form'!$C$113,'Entry Form'!$C$106,'Entry Form'!$C$104,'Entry Form'!$C$101,'Entry Form'!$C$94,'Entry Form'!$C$92,'Entry Form'!$C$91,'Entry Form'!$C$89,'Entry Form'!$C$88,'Entry Form'!$C$86,'Entry Form'!$C$85,'Entry Form'!$C$82,'Entry Form'!$C$80,'Entry Form'!$C$79,'Entry Form'!$C$77,'Entry Form'!$C$76,'Entry Form'!$C$74,'Entry Form'!$C$73,'Entry Form'!$C$69,'Entry Form'!$C$67,'Entry Form'!$C$66,'Entry Form'!$C$64,'Entry Form'!$C$63,'Entry Form'!$C$61,'Entry Form'!$C$60,'Entry Form'!$C$57,'Entry Form'!$C$55,'Entry Form'!$C$54,'Entry Form'!$C$52,'Entry Form'!$C$51,'Entry Form'!$C$49,'Entry Form'!$C$48,'Entry Form'!#REF!,'Entry Form'!$C$36,'Entry Form'!$C$34,'Entry Form'!$C$31,'Entry Form'!#REF!,'Entry Form'!#REF!,'Entry Form'!#REF!,'Entry Form'!$C$9,'Entry Form'!$C$6</definedName>
    <definedName name="external">Formulas!$H$2:$H$163</definedName>
    <definedName name="externalsum">'Entry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Form'!$C$396,'Entry Form'!$C$104,'Entry Form'!$C$92,'Entry Form'!$C$89,'Entry Form'!$C$86,'Entry Form'!$C$80,'Entry Form'!$C$77,'Entry Form'!$C$74,'Entry Form'!$C$67,'Entry Form'!$C$64,'Entry Form'!$C$61,'Entry Form'!$C$55,'Entry Form'!$C$52,'Entry Form'!$C$49</definedName>
    <definedName name="femalenumbers">'Entry Form'!$C$88,'Entry Form'!$C$76,'Entry Form'!$C$63,'Entry Form'!$C$51</definedName>
    <definedName name="femalesum">'Entry Form'!$C$77,'Entry Form'!$C$89,'Entry Form'!$C$64,'Entry Form'!$C$52</definedName>
    <definedName name="firmnames">'Entry Form'!$C$164:$C$406</definedName>
    <definedName name="H">Formulas!$N$2:$N$201</definedName>
    <definedName name="indirectnumbers">'Entry Form'!$C$60,'Entry Form'!$C$63,'Entry Form'!$C$66,'Entry Form'!$C$85,'Entry Form'!$C$88,'Entry Form'!$C$91</definedName>
    <definedName name="indirectsum">'Entry Form'!$C$92,'Entry Form'!$C$89,'Entry Form'!$C$86,'Entry Form'!$C$67,'Entry Form'!$C$64,'Entry Form'!$C$61</definedName>
    <definedName name="inputcheck">'Entry Form'!$C$9,'Entry Form'!$C$36,'Entry Form'!$C$57,'Entry Form'!$C$69,'Entry Form'!$C$82,'Entry Form'!$C$94,'Entry Form'!$C$106,'Entry Form'!$C$123,'Entry Form'!$C$131,'Entry Form'!$C$151,'Entry Form'!$C$157</definedName>
    <definedName name="inputfree">'Entry Form'!$C$34,'Entry Form'!$C$48:$C$49,'Entry Form'!$C$51:$C$52,'Entry Form'!$C$54:$C$55,'Entry Form'!$C$60:$C$61,'Entry Form'!$C$63:$C$64,'Entry Form'!$C$66:$C$67,'Entry Form'!$C$73:$C$74,'Entry Form'!$C$76:$C$77,'Entry Form'!$C$79:$C$80,'Entry Form'!$C$85:$C$86,'Entry Form'!$C$88:$C$89,'Entry Form'!$C$91:$C$92,'Entry Form'!$C$104,'Entry Form'!$C$119,'Entry Form'!$C$121,'Entry Form'!$C$128:$C$129,'Entry Form'!$C$145,'Entry Form'!$C$147,'Entry Form'!$C$149,'Entry Form'!$C$155,'Entry Form'!$C$161,'Entry Form'!$C$165:$C$166,'Entry Form'!$C$170:$C$171,'Entry Form'!$C$175:$C$176,'Entry Form'!$C$180:$C$181,'Entry Form'!$C$185:$C$186,'Entry Form'!$C$190:$C$191,'Entry Form'!$C$195:$C$196,'Entry Form'!$C$200:$C$201,'Entry Form'!$C$205:$C$206,'Entry Form'!$C$210:$C$211,'Entry Form'!$C$215:$C$216,'Entry Form'!$C$220:$C$221,'Entry Form'!$C$225:$C$226,'Entry Form'!$C$230:$C$231,'Entry Form'!$C$235:$C$236,'Entry Form'!$C$240:$C$241,'Entry Form'!$C$245:$C$246,'Entry Form'!$C$250:$C$251,'Entry Form'!$C$255:$C$256,'Entry Form'!$C$260:$C$261,'Entry Form'!$C$265:$C$266,'Entry Form'!$C$270:$C$271,'Entry Form'!$C$275:$C$276,'Entry Form'!$C$280:$C$281,'Entry Form'!$C$285:$C$286,'Entry Form'!$C$290:$C$291,'Entry Form'!$C$295:$C$296,'Entry Form'!$C$300:$C$301,'Entry Form'!$C$305:$C$306,'Entry Form'!$C$310:$C$311,'Entry Form'!$C$315:$C$316,'Entry Form'!$C$320:$C$321,'Entry Form'!$C$325:$C$326,'Entry Form'!$C$330:$C$331,'Entry Form'!$C$335:$C$336,'Entry Form'!$C$340:$C$341,'Entry Form'!$C$345:$C$346,'Entry Form'!$C$350:$C$351,'Entry Form'!$C$355:$C$356,'Entry Form'!$C$360:$C$361,'Entry Form'!$C$365:$C$366,'Entry Form'!$C$370:$C$371,'Entry Form'!$C$375:$C$376,'Entry Form'!$C$380:$C$381,'Entry Form'!$C$385:$C$386,'Entry Form'!$C$390:$C$391,'Entry Form'!$C$395:$C$396,'Entry Form'!$C$400:$C$401,'Entry Form'!$C$405:$C$406</definedName>
    <definedName name="inputlist">'Entry Form'!$C$6,'Entry Form'!$C$164,'Entry Form'!$C$169,'Entry Form'!$C$174,'Entry Form'!$C$179,'Entry Form'!$C$184,'Entry Form'!$C$189,'Entry Form'!$C$194,'Entry Form'!$C$199,'Entry Form'!$C$204,'Entry Form'!$C$209,'Entry Form'!$C$214,'Entry Form'!$C$219,'Entry Form'!$C$224,'Entry Form'!$C$229,'Entry Form'!$C$234,'Entry Form'!$C$239,'Entry Form'!$C$244,'Entry Form'!$C$249,'Entry Form'!$C$254,'Entry Form'!$C$259,'Entry Form'!$C$264,'Entry Form'!$C$269,'Entry Form'!$C$274,'Entry Form'!$C$279,'Entry Form'!$C$284,'Entry Form'!$C$289,'Entry Form'!$C$294,'Entry Form'!$C$299,'Entry Form'!$C$304,'Entry Form'!$C$309,'Entry Form'!$C$314,'Entry Form'!$C$319,'Entry Form'!$C$324,'Entry Form'!$C$329,'Entry Form'!$C$334,'Entry Form'!$C$339,'Entry Form'!$C$344,'Entry Form'!$C$349,'Entry Form'!$C$354,'Entry Form'!$C$359,'Entry Form'!$C$364,'Entry Form'!$C$369,'Entry Form'!$C$374,'Entry Form'!$C$379,'Entry Form'!$C$384,'Entry Form'!$C$389,'Entry Form'!$C$394,'Entry Form'!$C$399,'Entry Form'!$C$404</definedName>
    <definedName name="inputlock">'Entry Form'!$C$7,'Entry Form'!$C$117,'Entry Form'!$C$126</definedName>
    <definedName name="inputone">'Entry Form'!$C$128:$C$129,'Entry Form'!$C$131,'Entry Form'!$C$141,'Entry Form'!$C$145,'Entry Form'!$C$147,'Entry Form'!$C$149,'Entry Form'!$C$151,'Entry Form'!$C$155,'Entry Form'!$C$157,'Entry Form'!$C$119,'Entry Form'!$C$121,'Entry Form'!$C$123,'Entry Form'!$C$9,'Entry Form'!$C$24,'Entry Form'!$C$31,'Entry Form'!$C$34,'Entry Form'!$C$36,'Entry Form'!$C$44,'Entry Form'!$C$48:$C$49,'Entry Form'!$C$51:$C$52,'Entry Form'!$C$54:$C$55,'Entry Form'!$C$57,'Entry Form'!$C$60:$C$61,'Entry Form'!$C$63:$C$64,'Entry Form'!$C$66:$C$67,'Entry Form'!$C$69,'Entry Form'!$C$73:$C$74,'Entry Form'!$C$76:$C$77,'Entry Form'!$C$79:$C$80,'Entry Form'!$C$82,'Entry Form'!$C$85:$C$86,'Entry Form'!$C$88:$C$89,'Entry Form'!$C$91:$C$92,'Entry Form'!$C$94,'Entry Form'!$C$101,'Entry Form'!$C$104,'Entry Form'!$C$106,'Entry Form'!$C$113,'Entry Form'!$C$6</definedName>
    <definedName name="inputred">'Entry Form'!$C$9,'Entry Form'!$C$24,'Entry Form'!$C$31,'Entry Form'!$C$36,'Entry Form'!$C$44,'Entry Form'!$C$57,'Entry Form'!$C$69,'Entry Form'!$C$82,'Entry Form'!$C$94,'Entry Form'!$C$101,'Entry Form'!$C$106,'Entry Form'!$C$113,'Entry Form'!$C$123,'Entry Form'!$C$131,'Entry Form'!$C$141,'Entry Form'!$C$151,'Entry Form'!$C$157,'Entry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puttwo">'Entry Form'!$C$161,'Entry Form'!$C$163:$C$166,'Entry Form'!$C$168:$C$171,'Entry Form'!$C$173:$C$176,'Entry Form'!$C$178:$C$181,'Entry Form'!$C$183:$C$186,'Entry Form'!$C$188:$C$191,'Entry Form'!$C$193:$C$196,'Entry Form'!$C$198:$C$201,'Entry Form'!$C$203:$C$206,'Entry Form'!$C$208:$C$211,'Entry Form'!$C$213:$C$216,'Entry Form'!$C$218:$C$221,'Entry Form'!$C$223:$C$226,'Entry Form'!$C$228:$C$231,'Entry Form'!$C$233:$C$236,'Entry Form'!$C$238:$C$241,'Entry Form'!$C$243:$C$246,'Entry Form'!$C$248:$C$251,'Entry Form'!$C$253:$C$256,'Entry Form'!$C$258:$C$261,'Entry Form'!$C$263:$C$266,'Entry Form'!$C$268:$C$271,'Entry Form'!$C$273:$C$276,'Entry Form'!$C$278:$C$281,'Entry Form'!$C$283:$C$286,'Entry Form'!$C$288:$C$291,'Entry Form'!$C$293:$C$296,'Entry Form'!$C$298:$C$301,'Entry Form'!$C$303:$C$306,'Entry Form'!$C$308:$C$311,'Entry Form'!$C$313:$C$316,'Entry Form'!$C$318:$C$321,'Entry Form'!$C$323:$C$326,'Entry Form'!$C$328:$C$331,'Entry Form'!$C$333:$C$336,'Entry Form'!$C$338:$C$341,'Entry Form'!$C$343:$C$346,'Entry Form'!$C$348:$C$351,'Entry Form'!$C$353:$C$356,'Entry Form'!$C$358:$C$361,'Entry Form'!$C$363:$C$366,'Entry Form'!$C$368:$C$371,'Entry Form'!$C$373:$C$376,'Entry Form'!$C$378:$C$381,'Entry Form'!$C$383:$C$386,'Entry Form'!$C$388:$C$391,'Entry Form'!$C$393:$C$396,'Entry Form'!$C$398:$C$401,'Entry Form'!$C$403:$C$406</definedName>
    <definedName name="inputyellow">'Entry Form'!$C$6:$C$7,'Entry Form'!$C$34,'Entry Form'!$C$48:$C$49,'Entry Form'!$C$51:$C$52,'Entry Form'!$C$54:$C$55,'Entry Form'!$C$60:$C$61,'Entry Form'!$C$63:$C$64,'Entry Form'!$C$66:$C$67,'Entry Form'!$C$73:$C$74,'Entry Form'!$C$76:$C$77,'Entry Form'!$C$79:$C$80,'Entry Form'!$C$85:$C$86,'Entry Form'!$C$88:$C$89,'Entry Form'!$C$91:$C$92,'Entry Form'!$C$104,'Entry Form'!$C$117,'Entry Form'!$C$119,'Entry Form'!$C$121,'Entry Form'!$C$126,'Entry Form'!$C$128:$C$129,'Entry Form'!$C$145,'Entry Form'!$C$147,'Entry Form'!$C$149,'Entry Form'!$C$155,'Entry Form'!$C$161,'Entry Form'!$C$164:$C$166,'Entry Form'!$C$169:$C$171,'Entry Form'!$C$174:$C$176,'Entry Form'!$C$179:$C$181,'Entry Form'!$C$184:$C$186,'Entry Form'!$C$189:$C$191,'Entry Form'!$C$194:$C$196,'Entry Form'!$C$199:$C$201,'Entry Form'!$C$204:$C$206,'Entry Form'!$C$209:$C$211,'Entry Form'!$C$214:$C$216,'Entry Form'!$C$219:$C$221,'Entry Form'!$C$224:$C$226,'Entry Form'!$C$229:$C$231,'Entry Form'!$C$234:$C$236,'Entry Form'!$C$239:$C$241,'Entry Form'!$C$244:$C$246,'Entry Form'!$C$249:$C$251,'Entry Form'!$C$254:$C$256,'Entry Form'!$C$259:$C$261,'Entry Form'!$C$264:$C$266,'Entry Form'!$C$269:$C$271,'Entry Form'!$C$274:$C$276,'Entry Form'!$C$279:$C$281,'Entry Form'!$C$284:$C$286,'Entry Form'!$C$289:$C$291,'Entry Form'!$C$294:$C$296,'Entry Form'!$C$299:$C$301,'Entry Form'!$C$304:$C$306,'Entry Form'!$C$309:$C$311,'Entry Form'!$C$314:$C$316,'Entry Form'!$C$319:$C$321,'Entry Form'!$C$324:$C$326,'Entry Form'!$C$329:$C$331,'Entry Form'!$C$334:$C$336,'Entry Form'!$C$339:$C$341,'Entry Form'!$C$344:$C$346,'Entry Form'!$C$349:$C$351,'Entry Form'!$C$354:$C$356,'Entry Form'!$C$359:$C$361,'Entry Form'!$C$364:$C$366,'Entry Form'!$C$369:$C$371,'Entry Form'!$C$374:$C$376,'Entry Form'!$C$379:$C$381,'Entry Form'!$C$384:$C$386,'Entry Form'!$C$389:$C$391,'Entry Form'!$C$394:$C$396,'Entry Form'!$C$399:$C$401,'Entry Form'!$C$404:$C$406</definedName>
    <definedName name="inputyesno">'Entry Form'!$C$24,'Entry Form'!$C$31,'Entry Form'!$C$44,'Entry Form'!$C$101,'Entry Form'!$C$113,'Entry Form'!$C$141,'Entry Form'!$C$163,'Entry Form'!$C$168,'Entry Form'!$C$173,'Entry Form'!$C$178,'Entry Form'!$C$183,'Entry Form'!$C$188,'Entry Form'!$C$193,'Entry Form'!$C$198,'Entry Form'!$C$203,'Entry Form'!$C$208,'Entry Form'!$C$213,'Entry Form'!$C$218,'Entry Form'!$C$223,'Entry Form'!$C$228,'Entry Form'!$C$233,'Entry Form'!$C$238,'Entry Form'!$C$243,'Entry Form'!$C$248,'Entry Form'!$C$253,'Entry Form'!$C$258,'Entry Form'!$C$263,'Entry Form'!$C$268,'Entry Form'!$C$273,'Entry Form'!$C$278,'Entry Form'!$C$283,'Entry Form'!$C$288,'Entry Form'!$C$293,'Entry Form'!$C$298,'Entry Form'!$C$303,'Entry Form'!$C$308,'Entry Form'!$C$313,'Entry Form'!$C$318,'Entry Form'!$C$323,'Entry Form'!$C$328,'Entry Form'!$C$333,'Entry Form'!$C$338,'Entry Form'!$C$343,'Entry Form'!$C$348,'Entry Form'!$C$353,'Entry Form'!$C$358,'Entry Form'!$C$363,'Entry Form'!$C$368,'Entry Form'!$C$373,'Entry Form'!$C$378,'Entry Form'!$C$383,'Entry Form'!$C$388,'Entry Form'!$C$393,'Entry Form'!$C$398,'Entry Form'!$C$403</definedName>
    <definedName name="internal">Formulas!$G$2:$G$163</definedName>
    <definedName name="LSP_Name">'List of Law Firms'!$A$2:$A$63</definedName>
    <definedName name="malenumbers">'Entry Form'!$C$48,'Entry Form'!$C$60,'Entry Form'!$C$73,'Entry Form'!$C$85</definedName>
    <definedName name="malesum">'Entry Form'!$C$49,'Entry Form'!$C$61,'Entry Form'!$C$74,'Entry Form'!$C$86</definedName>
    <definedName name="O">Formulas!$P$2:$P$3</definedName>
    <definedName name="OLE_LINK7" localSheetId="4">'Agency reporting template'!#REF!</definedName>
    <definedName name="onthepanel">Formulas!$E$2:$E$163</definedName>
    <definedName name="panel_fee">[1]Sheet4!$A$4:$C$117</definedName>
    <definedName name="panelfee">Formulas!$I$2:$I$163</definedName>
    <definedName name="_xlnm.Print_Area" localSheetId="4">'Agency reporting template'!$A$1:$D$90</definedName>
    <definedName name="_xlnm.Print_Area" localSheetId="0">'Entry Form'!$A$1:$C$407</definedName>
    <definedName name="_xlnm.Print_Area" localSheetId="1">Summary!$A$1:$C$190</definedName>
    <definedName name="profees">'Entry Form'!$C$145,'Entry Form'!$C$147,'Entry Form'!$C$149,'Entry Form'!$C$155,'Entry Form'!$C$161,'Entry Form'!$C$166,'Entry Form'!$C$171,'Entry Form'!$C$176,'Entry Form'!$C$181,'Entry Form'!$C$186,'Entry Form'!$C$191,'Entry Form'!$C$196,'Entry Form'!$C$201,'Entry Form'!$C$206,'Entry Form'!$C$211,'Entry Form'!$C$216,'Entry Form'!$C$221,'Entry Form'!$C$226,'Entry Form'!$C$231,'Entry Form'!$C$236,'Entry Form'!$C$241,'Entry Form'!$C$246,'Entry Form'!$C$251,'Entry Form'!$C$256,'Entry Form'!$C$261,'Entry Form'!$C$266,'Entry Form'!$C$271,'Entry Form'!$C$276,'Entry Form'!$C$281,'Entry Form'!$C$286,'Entry Form'!$C$291,'Entry Form'!$C$296,'Entry Form'!$C$301,'Entry Form'!$C$306,'Entry Form'!$C$311,'Entry Form'!$C$316,'Entry Form'!$C$321,'Entry Form'!$C$326,'Entry Form'!$C$331,'Entry Form'!$C$336,'Entry Form'!$C$341,'Entry Form'!$C$346,'Entry Form'!$C$351,'Entry Form'!$C$356,'Entry Form'!$C$361,'Entry Form'!$C$366,'Entry Form'!$C$371,'Entry Form'!$C$376,'Entry Form'!$C$381,'Entry Form'!$C$386,'Entry Form'!$C$391,'Entry Form'!$C$396</definedName>
    <definedName name="summaryinput">Summary!$C$29,Summary!$B$45,Summary!$C$47,Summary!$C$53</definedName>
    <definedName name="total">Formulas!$F$2:$F$163</definedName>
    <definedName name="xnumbers">'Entry Form'!$C$54,'Entry Form'!$C$66,'Entry Form'!$C$79,'Entry Form'!$C$91</definedName>
    <definedName name="xsum">'Entry Form'!$C$92,'Entry Form'!$C$80,'Entry Form'!$C$67,'Entry Form'!$C$55</definedName>
    <definedName name="yesno">Formulas!$K$2:$K$3</definedName>
  </definedNames>
  <calcPr calcId="191029"/>
</workbook>
</file>

<file path=xl/calcChain.xml><?xml version="1.0" encoding="utf-8"?>
<calcChain xmlns="http://schemas.openxmlformats.org/spreadsheetml/2006/main">
  <c r="C34" i="4" l="1"/>
  <c r="C7" i="4" l="1"/>
  <c r="D6" i="4" l="1"/>
  <c r="B163" i="4" l="1"/>
  <c r="B13" i="4" l="1"/>
  <c r="B14" i="4"/>
  <c r="B15" i="4"/>
  <c r="B16" i="4"/>
  <c r="B17" i="4"/>
  <c r="B18" i="4"/>
  <c r="A13" i="4"/>
  <c r="A14" i="4"/>
  <c r="A15" i="4"/>
  <c r="A16" i="4"/>
  <c r="A17" i="4"/>
  <c r="A18" i="4"/>
  <c r="B161" i="4"/>
  <c r="B160" i="4"/>
  <c r="B155" i="4"/>
  <c r="B154" i="4"/>
  <c r="B149" i="4"/>
  <c r="B148" i="4"/>
  <c r="B147" i="4"/>
  <c r="B146" i="4"/>
  <c r="B145" i="4"/>
  <c r="B144" i="4"/>
  <c r="B139" i="4"/>
  <c r="A139" i="4"/>
  <c r="B138" i="4"/>
  <c r="A138" i="4"/>
  <c r="B137" i="4"/>
  <c r="A137" i="4"/>
  <c r="B136" i="4"/>
  <c r="A136" i="4"/>
  <c r="B135" i="4"/>
  <c r="A135" i="4"/>
  <c r="B134" i="4"/>
  <c r="A134" i="4"/>
  <c r="B129" i="4"/>
  <c r="B128" i="4"/>
  <c r="B127" i="4"/>
  <c r="B126" i="4"/>
  <c r="B125" i="4"/>
  <c r="B121" i="4"/>
  <c r="B120" i="4"/>
  <c r="B119" i="4"/>
  <c r="B118" i="4"/>
  <c r="B117" i="4"/>
  <c r="B116" i="4"/>
  <c r="B111" i="4"/>
  <c r="A111" i="4"/>
  <c r="B110" i="4"/>
  <c r="A110" i="4"/>
  <c r="B109" i="4"/>
  <c r="A109" i="4"/>
  <c r="B104" i="4"/>
  <c r="B99" i="4"/>
  <c r="A99" i="4"/>
  <c r="B98" i="4"/>
  <c r="A98" i="4"/>
  <c r="B97" i="4"/>
  <c r="A97" i="4"/>
  <c r="B92" i="4"/>
  <c r="B91" i="4"/>
  <c r="B90" i="4"/>
  <c r="B89" i="4"/>
  <c r="B88" i="4"/>
  <c r="B87" i="4"/>
  <c r="B86" i="4"/>
  <c r="B85" i="4"/>
  <c r="B84" i="4"/>
  <c r="B80" i="4"/>
  <c r="B79" i="4"/>
  <c r="B78" i="4"/>
  <c r="B77" i="4"/>
  <c r="B76" i="4"/>
  <c r="B75" i="4"/>
  <c r="B74" i="4"/>
  <c r="B73" i="4"/>
  <c r="B72" i="4"/>
  <c r="B67" i="4"/>
  <c r="B66" i="4"/>
  <c r="B65" i="4"/>
  <c r="B64" i="4"/>
  <c r="B63" i="4"/>
  <c r="B62" i="4"/>
  <c r="B61" i="4"/>
  <c r="B60" i="4"/>
  <c r="B59" i="4"/>
  <c r="B55" i="4"/>
  <c r="B54" i="4"/>
  <c r="B51" i="4" l="1"/>
  <c r="B52" i="4"/>
  <c r="B53" i="4"/>
  <c r="B50" i="4"/>
  <c r="B49" i="4"/>
  <c r="B48" i="4"/>
  <c r="B47" i="4"/>
  <c r="B40" i="4"/>
  <c r="B41" i="4"/>
  <c r="B42" i="4"/>
  <c r="B39" i="4"/>
  <c r="A40" i="4"/>
  <c r="A41" i="4"/>
  <c r="A42" i="4"/>
  <c r="A39" i="4"/>
  <c r="B34" i="4"/>
  <c r="B28" i="4"/>
  <c r="B29" i="4"/>
  <c r="A28" i="4"/>
  <c r="A29" i="4"/>
  <c r="B27" i="4"/>
  <c r="A27" i="4"/>
  <c r="B4" i="4" l="1"/>
  <c r="E9" i="4" l="1"/>
  <c r="B3" i="6" l="1"/>
  <c r="B24" i="4" l="1"/>
  <c r="E24" i="4" s="1"/>
  <c r="A19" i="4"/>
  <c r="A20" i="4"/>
  <c r="A21" i="4"/>
  <c r="A22" i="4"/>
  <c r="B19" i="4"/>
  <c r="B20" i="4"/>
  <c r="B21" i="4"/>
  <c r="B22" i="4"/>
  <c r="B12" i="4"/>
  <c r="A12" i="4"/>
  <c r="A4" i="4"/>
  <c r="B3" i="4"/>
  <c r="A3" i="4"/>
  <c r="D7" i="4"/>
  <c r="D9" i="4" l="1"/>
  <c r="B10" i="4" l="1"/>
  <c r="B25" i="4" s="1"/>
  <c r="B31" i="4" s="1"/>
  <c r="D24" i="4" l="1"/>
  <c r="B32" i="4"/>
  <c r="D31" i="4"/>
  <c r="E31" i="4"/>
  <c r="B36" i="4" l="1"/>
  <c r="E36" i="4" s="1"/>
  <c r="D34" i="4"/>
  <c r="D36" i="4"/>
  <c r="B37" i="4" s="1"/>
  <c r="B44" i="4" l="1"/>
  <c r="E44" i="4" s="1"/>
  <c r="B45" i="4"/>
  <c r="D44" i="4"/>
  <c r="D55" i="4" l="1"/>
  <c r="D51" i="4"/>
  <c r="D52" i="4"/>
  <c r="D49" i="4"/>
  <c r="D54" i="4"/>
  <c r="D48" i="4"/>
  <c r="B57" i="4"/>
  <c r="E57" i="4" s="1"/>
  <c r="D57" i="4"/>
  <c r="B58" i="4" s="1"/>
  <c r="D67" i="4" l="1"/>
  <c r="D66" i="4"/>
  <c r="D64" i="4"/>
  <c r="D63" i="4"/>
  <c r="D61" i="4"/>
  <c r="D60" i="4"/>
  <c r="B69" i="4"/>
  <c r="E69" i="4" s="1"/>
  <c r="D69" i="4" l="1"/>
  <c r="B70" i="4" s="1"/>
  <c r="A44" i="4"/>
  <c r="D80" i="4" l="1"/>
  <c r="D74" i="4"/>
  <c r="D79" i="4"/>
  <c r="D73" i="4"/>
  <c r="D77" i="4"/>
  <c r="D76" i="4"/>
  <c r="B82" i="4"/>
  <c r="E82" i="4" s="1"/>
  <c r="D82" i="4"/>
  <c r="B83" i="4" s="1"/>
  <c r="D92" i="4" l="1"/>
  <c r="D91" i="4"/>
  <c r="D89" i="4"/>
  <c r="D88" i="4"/>
  <c r="D86" i="4"/>
  <c r="D85" i="4"/>
  <c r="B94" i="4"/>
  <c r="E94" i="4" s="1"/>
  <c r="D94" i="4"/>
  <c r="B95" i="4" s="1"/>
  <c r="B101" i="4" l="1"/>
  <c r="E101" i="4" s="1"/>
  <c r="D101" i="4" l="1"/>
  <c r="B102" i="4"/>
  <c r="B106" i="4" l="1"/>
  <c r="E106" i="4" s="1"/>
  <c r="D104" i="4"/>
  <c r="D106" i="4"/>
  <c r="B107" i="4" s="1"/>
  <c r="B114" i="4" l="1"/>
  <c r="C117" i="4" s="1"/>
  <c r="D119" i="4" l="1"/>
  <c r="D121" i="4"/>
  <c r="B123" i="4"/>
  <c r="E123" i="4" s="1"/>
  <c r="D117" i="4"/>
  <c r="B131" i="4"/>
  <c r="E131" i="4" s="1"/>
  <c r="D123" i="4"/>
  <c r="D113" i="4"/>
  <c r="B113" i="4"/>
  <c r="E113" i="4" s="1"/>
  <c r="B124" i="4" l="1"/>
  <c r="C126" i="4" s="1"/>
  <c r="D131" i="4" l="1"/>
  <c r="B132" i="4" s="1"/>
  <c r="B142" i="4" s="1"/>
  <c r="D128" i="4"/>
  <c r="D129" i="4"/>
  <c r="D126" i="4"/>
  <c r="D147" i="4" l="1"/>
  <c r="D149" i="4"/>
  <c r="D145" i="4"/>
  <c r="D141" i="4"/>
  <c r="D151" i="4"/>
  <c r="B141" i="4"/>
  <c r="E141" i="4" s="1"/>
  <c r="B151" i="4"/>
  <c r="E151" i="4" s="1"/>
  <c r="B152" i="4" l="1"/>
  <c r="B157" i="4" l="1"/>
  <c r="E157" i="4" s="1"/>
  <c r="D155" i="4"/>
  <c r="D157" i="4"/>
  <c r="B158" i="4" l="1"/>
  <c r="E163" i="4" l="1"/>
  <c r="D161" i="4"/>
  <c r="B164" i="4"/>
  <c r="B168" i="4" l="1"/>
  <c r="A164" i="4"/>
  <c r="D163" i="4"/>
  <c r="E164" i="4"/>
  <c r="B166" i="4"/>
  <c r="B165" i="4"/>
  <c r="B169" i="4" l="1"/>
  <c r="D164" i="4"/>
  <c r="D165" i="4"/>
  <c r="E168" i="4"/>
  <c r="D166" i="4"/>
  <c r="B173" i="4" l="1"/>
  <c r="E173" i="4" s="1"/>
  <c r="B171" i="4"/>
  <c r="E169" i="4"/>
  <c r="B170" i="4"/>
  <c r="D168" i="4"/>
  <c r="A169" i="4"/>
  <c r="B174" i="4" l="1"/>
  <c r="D169" i="4"/>
  <c r="D170" i="4"/>
  <c r="D171" i="4"/>
  <c r="B175" i="4" l="1"/>
  <c r="D175" i="4" s="1"/>
  <c r="A174" i="4"/>
  <c r="E174" i="4"/>
  <c r="B176" i="4"/>
  <c r="B178" i="4"/>
  <c r="E178" i="4" s="1"/>
  <c r="D173" i="4"/>
  <c r="B179" i="4" l="1"/>
  <c r="D174" i="4"/>
  <c r="D176" i="4"/>
  <c r="B181" i="4" l="1"/>
  <c r="E179" i="4"/>
  <c r="D178" i="4"/>
  <c r="A179" i="4"/>
  <c r="B180" i="4"/>
  <c r="D180" i="4" s="1"/>
  <c r="B183" i="4"/>
  <c r="E183" i="4" s="1"/>
  <c r="B184" i="4" l="1"/>
  <c r="B186" i="4" s="1"/>
  <c r="D179" i="4"/>
  <c r="D181" i="4"/>
  <c r="A184" i="4" l="1"/>
  <c r="B185" i="4"/>
  <c r="D185" i="4" s="1"/>
  <c r="B188" i="4"/>
  <c r="E188" i="4" s="1"/>
  <c r="D183" i="4"/>
  <c r="E184" i="4"/>
  <c r="B189" i="4" l="1"/>
  <c r="B193" i="4" s="1"/>
  <c r="E193" i="4" s="1"/>
  <c r="D186" i="4"/>
  <c r="D184" i="4"/>
  <c r="B191" i="4" l="1"/>
  <c r="A189" i="4"/>
  <c r="B190" i="4"/>
  <c r="D190" i="4" s="1"/>
  <c r="E189" i="4"/>
  <c r="D188" i="4"/>
  <c r="B194" i="4"/>
  <c r="E194" i="4" s="1"/>
  <c r="D191" i="4"/>
  <c r="D189" i="4"/>
  <c r="B195" i="4" l="1"/>
  <c r="D195" i="4" s="1"/>
  <c r="A194" i="4"/>
  <c r="B198" i="4"/>
  <c r="E198" i="4" s="1"/>
  <c r="D193" i="4"/>
  <c r="B196" i="4"/>
  <c r="B199" i="4"/>
  <c r="B200" i="4" s="1"/>
  <c r="D194" i="4" l="1"/>
  <c r="D196" i="4"/>
  <c r="E199" i="4"/>
  <c r="D198" i="4"/>
  <c r="B203" i="4"/>
  <c r="E203" i="4" s="1"/>
  <c r="A199" i="4"/>
  <c r="D200" i="4"/>
  <c r="B201" i="4"/>
  <c r="B204" i="4"/>
  <c r="B208" i="4" s="1"/>
  <c r="E208" i="4" s="1"/>
  <c r="D201" i="4" l="1"/>
  <c r="D199" i="4"/>
  <c r="B205" i="4"/>
  <c r="D205" i="4" s="1"/>
  <c r="D206" i="4"/>
  <c r="B209" i="4"/>
  <c r="A204" i="4"/>
  <c r="E204" i="4"/>
  <c r="B206" i="4"/>
  <c r="D203" i="4"/>
  <c r="D204" i="4"/>
  <c r="B211" i="4" l="1"/>
  <c r="B213" i="4"/>
  <c r="E213" i="4" s="1"/>
  <c r="B210" i="4"/>
  <c r="D210" i="4" s="1"/>
  <c r="E209" i="4"/>
  <c r="D208" i="4"/>
  <c r="A209" i="4"/>
  <c r="B214" i="4"/>
  <c r="D211" i="4" l="1"/>
  <c r="D209" i="4"/>
  <c r="B216" i="4"/>
  <c r="A214" i="4"/>
  <c r="D213" i="4"/>
  <c r="B215" i="4"/>
  <c r="D215" i="4" s="1"/>
  <c r="E214" i="4"/>
  <c r="B218" i="4"/>
  <c r="E218" i="4" s="1"/>
  <c r="D216" i="4" l="1"/>
  <c r="D214" i="4"/>
  <c r="B219" i="4"/>
  <c r="B223" i="4" l="1"/>
  <c r="E223" i="4" s="1"/>
  <c r="B220" i="4"/>
  <c r="A219" i="4"/>
  <c r="B221" i="4"/>
  <c r="D218" i="4"/>
  <c r="E219" i="4"/>
  <c r="D220" i="4" l="1"/>
  <c r="B224" i="4"/>
  <c r="D223" i="4" s="1"/>
  <c r="D221" i="4"/>
  <c r="D219" i="4"/>
  <c r="E224" i="4" l="1"/>
  <c r="A224" i="4"/>
  <c r="B225" i="4"/>
  <c r="D225" i="4" s="1"/>
  <c r="B226" i="4"/>
  <c r="B228" i="4"/>
  <c r="E228" i="4" s="1"/>
  <c r="D226" i="4" l="1"/>
  <c r="D224" i="4"/>
  <c r="B229" i="4"/>
  <c r="B233" i="4" l="1"/>
  <c r="E233" i="4" s="1"/>
  <c r="B231" i="4"/>
  <c r="A229" i="4"/>
  <c r="D228" i="4"/>
  <c r="E229" i="4"/>
  <c r="B230" i="4"/>
  <c r="D230" i="4" s="1"/>
  <c r="B234" i="4"/>
  <c r="D229" i="4" l="1"/>
  <c r="A234" i="4"/>
  <c r="D233" i="4"/>
  <c r="B238" i="4"/>
  <c r="E238" i="4" s="1"/>
  <c r="B235" i="4"/>
  <c r="E234" i="4"/>
  <c r="D231" i="4"/>
  <c r="B236" i="4"/>
  <c r="D235" i="4" l="1"/>
  <c r="D234" i="4"/>
  <c r="D236" i="4"/>
  <c r="B239" i="4"/>
  <c r="B243" i="4" l="1"/>
  <c r="E243" i="4" s="1"/>
  <c r="D238" i="4"/>
  <c r="E239" i="4"/>
  <c r="B240" i="4"/>
  <c r="D240" i="4" s="1"/>
  <c r="A239" i="4"/>
  <c r="B244" i="4"/>
  <c r="B241" i="4"/>
  <c r="E244" i="4" l="1"/>
  <c r="B248" i="4"/>
  <c r="E248" i="4" s="1"/>
  <c r="A244" i="4"/>
  <c r="D243" i="4"/>
  <c r="B245" i="4"/>
  <c r="D245" i="4" s="1"/>
  <c r="D239" i="4"/>
  <c r="D241" i="4"/>
  <c r="B246" i="4"/>
  <c r="D244" i="4" l="1"/>
  <c r="D246" i="4"/>
  <c r="B249" i="4"/>
  <c r="D248" i="4" l="1"/>
  <c r="B253" i="4"/>
  <c r="E253" i="4" s="1"/>
  <c r="A249" i="4"/>
  <c r="E249" i="4"/>
  <c r="B250" i="4"/>
  <c r="B251" i="4"/>
  <c r="D250" i="4" l="1"/>
  <c r="D249" i="4"/>
  <c r="D251" i="4"/>
  <c r="B254" i="4"/>
  <c r="D253" i="4" l="1"/>
  <c r="E254" i="4"/>
  <c r="A254" i="4"/>
  <c r="B255" i="4"/>
  <c r="D255" i="4" s="1"/>
  <c r="B258" i="4"/>
  <c r="E258" i="4" s="1"/>
  <c r="B256" i="4"/>
  <c r="D254" i="4" l="1"/>
  <c r="D256" i="4"/>
  <c r="B259" i="4"/>
  <c r="A259" i="4" l="1"/>
  <c r="D258" i="4"/>
  <c r="B263" i="4"/>
  <c r="E263" i="4" s="1"/>
  <c r="B260" i="4"/>
  <c r="D260" i="4" s="1"/>
  <c r="E259" i="4"/>
  <c r="B264" i="4"/>
  <c r="B261" i="4"/>
  <c r="D261" i="4" l="1"/>
  <c r="D259" i="4"/>
  <c r="B266" i="4"/>
  <c r="E264" i="4"/>
  <c r="D263" i="4"/>
  <c r="B265" i="4"/>
  <c r="D265" i="4" s="1"/>
  <c r="A264" i="4"/>
  <c r="B268" i="4"/>
  <c r="E268" i="4" s="1"/>
  <c r="B269" i="4" l="1"/>
  <c r="B270" i="4" s="1"/>
  <c r="D270" i="4" s="1"/>
  <c r="D264" i="4"/>
  <c r="D266" i="4"/>
  <c r="B271" i="4" l="1"/>
  <c r="E269" i="4"/>
  <c r="B273" i="4"/>
  <c r="E273" i="4" s="1"/>
  <c r="D268" i="4"/>
  <c r="A269" i="4"/>
  <c r="B274" i="4"/>
  <c r="D271" i="4" l="1"/>
  <c r="D269" i="4"/>
  <c r="E274" i="4"/>
  <c r="A274" i="4"/>
  <c r="B278" i="4"/>
  <c r="E278" i="4" s="1"/>
  <c r="D273" i="4"/>
  <c r="B275" i="4"/>
  <c r="D275" i="4" s="1"/>
  <c r="B279" i="4"/>
  <c r="B276" i="4"/>
  <c r="D276" i="4" l="1"/>
  <c r="D274" i="4"/>
  <c r="E279" i="4"/>
  <c r="B280" i="4"/>
  <c r="A279" i="4"/>
  <c r="D278" i="4"/>
  <c r="B283" i="4"/>
  <c r="E283" i="4" s="1"/>
  <c r="B281" i="4"/>
  <c r="D279" i="4" l="1"/>
  <c r="D280" i="4"/>
  <c r="B284" i="4"/>
  <c r="D281" i="4"/>
  <c r="B288" i="4" l="1"/>
  <c r="E288" i="4" s="1"/>
  <c r="A284" i="4"/>
  <c r="E284" i="4"/>
  <c r="D283" i="4"/>
  <c r="B285" i="4"/>
  <c r="D285" i="4" s="1"/>
  <c r="B286" i="4"/>
  <c r="B289" i="4" l="1"/>
  <c r="B290" i="4" s="1"/>
  <c r="D290" i="4" s="1"/>
  <c r="D284" i="4"/>
  <c r="D286" i="4"/>
  <c r="B291" i="4" l="1"/>
  <c r="A289" i="4"/>
  <c r="D288" i="4"/>
  <c r="B293" i="4"/>
  <c r="E293" i="4" s="1"/>
  <c r="E289" i="4"/>
  <c r="B294" i="4"/>
  <c r="D291" i="4" l="1"/>
  <c r="D289" i="4"/>
  <c r="B296" i="4"/>
  <c r="B295" i="4"/>
  <c r="D295" i="4" s="1"/>
  <c r="D293" i="4"/>
  <c r="B298" i="4"/>
  <c r="E298" i="4" s="1"/>
  <c r="A294" i="4"/>
  <c r="E294" i="4"/>
  <c r="B299" i="4" l="1"/>
  <c r="B301" i="4" s="1"/>
  <c r="D296" i="4"/>
  <c r="D294" i="4"/>
  <c r="B303" i="4" l="1"/>
  <c r="E303" i="4" s="1"/>
  <c r="D298" i="4"/>
  <c r="E299" i="4"/>
  <c r="A299" i="4"/>
  <c r="B300" i="4"/>
  <c r="D300" i="4" s="1"/>
  <c r="B304" i="4"/>
  <c r="D299" i="4"/>
  <c r="D301" i="4"/>
  <c r="E304" i="4" l="1"/>
  <c r="B308" i="4"/>
  <c r="E308" i="4" s="1"/>
  <c r="D303" i="4"/>
  <c r="B305" i="4"/>
  <c r="D305" i="4" s="1"/>
  <c r="A304" i="4"/>
  <c r="B306" i="4"/>
  <c r="D304" i="4" l="1"/>
  <c r="D306" i="4"/>
  <c r="B309" i="4"/>
  <c r="B310" i="4" l="1"/>
  <c r="B313" i="4"/>
  <c r="E313" i="4" s="1"/>
  <c r="E309" i="4"/>
  <c r="D308" i="4"/>
  <c r="A309" i="4"/>
  <c r="B311" i="4"/>
  <c r="B314" i="4"/>
  <c r="D310" i="4" l="1"/>
  <c r="D311" i="4"/>
  <c r="D309" i="4"/>
  <c r="E314" i="4"/>
  <c r="A314" i="4"/>
  <c r="D313" i="4"/>
  <c r="B315" i="4"/>
  <c r="D315" i="4" s="1"/>
  <c r="B318" i="4"/>
  <c r="E318" i="4" s="1"/>
  <c r="B316" i="4"/>
  <c r="D314" i="4" l="1"/>
  <c r="B319" i="4"/>
  <c r="D316" i="4"/>
  <c r="B320" i="4" l="1"/>
  <c r="D320" i="4" s="1"/>
  <c r="B323" i="4"/>
  <c r="E323" i="4" s="1"/>
  <c r="A319" i="4"/>
  <c r="D318" i="4"/>
  <c r="E319" i="4"/>
  <c r="B321" i="4"/>
  <c r="B324" i="4"/>
  <c r="D319" i="4" l="1"/>
  <c r="D321" i="4"/>
  <c r="B326" i="4"/>
  <c r="A324" i="4"/>
  <c r="B325" i="4"/>
  <c r="E324" i="4"/>
  <c r="D323" i="4"/>
  <c r="B328" i="4"/>
  <c r="D325" i="4" l="1"/>
  <c r="E328" i="4"/>
  <c r="D326" i="4"/>
  <c r="D324" i="4"/>
  <c r="B329" i="4"/>
  <c r="D328" i="4" l="1"/>
  <c r="E329" i="4"/>
  <c r="B333" i="4"/>
  <c r="A329" i="4"/>
  <c r="B330" i="4"/>
  <c r="D330" i="4" s="1"/>
  <c r="B331" i="4"/>
  <c r="D329" i="4" l="1"/>
  <c r="D331" i="4"/>
  <c r="E333" i="4"/>
  <c r="B334" i="4"/>
  <c r="B338" i="4" l="1"/>
  <c r="D336" i="4" s="1"/>
  <c r="E334" i="4"/>
  <c r="B335" i="4"/>
  <c r="D335" i="4" s="1"/>
  <c r="D333" i="4"/>
  <c r="A334" i="4"/>
  <c r="B336" i="4"/>
  <c r="B339" i="4" l="1"/>
  <c r="B341" i="4" s="1"/>
  <c r="D334" i="4"/>
  <c r="E338" i="4"/>
  <c r="B344" i="4" l="1"/>
  <c r="E344" i="4" s="1"/>
  <c r="B343" i="4"/>
  <c r="D341" i="4" s="1"/>
  <c r="D338" i="4"/>
  <c r="B340" i="4"/>
  <c r="D340" i="4" s="1"/>
  <c r="E339" i="4"/>
  <c r="A339" i="4"/>
  <c r="D339" i="4"/>
  <c r="E343" i="4" l="1"/>
  <c r="B345" i="4"/>
  <c r="D345" i="4" s="1"/>
  <c r="B346" i="4"/>
  <c r="B349" i="4"/>
  <c r="A349" i="4" s="1"/>
  <c r="D343" i="4"/>
  <c r="A344" i="4"/>
  <c r="B348" i="4"/>
  <c r="D344" i="4" s="1"/>
  <c r="B351" i="4" l="1"/>
  <c r="B353" i="4"/>
  <c r="E353" i="4" s="1"/>
  <c r="D346" i="4"/>
  <c r="B354" i="4"/>
  <c r="B356" i="4" s="1"/>
  <c r="E348" i="4"/>
  <c r="D349" i="4"/>
  <c r="B350" i="4"/>
  <c r="D350" i="4" s="1"/>
  <c r="E349" i="4"/>
  <c r="D348" i="4"/>
  <c r="D351" i="4" l="1"/>
  <c r="E354" i="4"/>
  <c r="A354" i="4"/>
  <c r="D353" i="4"/>
  <c r="B359" i="4"/>
  <c r="D358" i="4" s="1"/>
  <c r="B358" i="4"/>
  <c r="E358" i="4" s="1"/>
  <c r="B355" i="4"/>
  <c r="D355" i="4" s="1"/>
  <c r="A359" i="4" l="1"/>
  <c r="D354" i="4"/>
  <c r="D356" i="4"/>
  <c r="B361" i="4"/>
  <c r="B363" i="4"/>
  <c r="E363" i="4" s="1"/>
  <c r="B364" i="4"/>
  <c r="B365" i="4" s="1"/>
  <c r="D365" i="4" s="1"/>
  <c r="E359" i="4"/>
  <c r="B360" i="4"/>
  <c r="D360" i="4" s="1"/>
  <c r="E364" i="4" l="1"/>
  <c r="B366" i="4"/>
  <c r="B368" i="4"/>
  <c r="E368" i="4" s="1"/>
  <c r="A364" i="4"/>
  <c r="D363" i="4"/>
  <c r="D359" i="4"/>
  <c r="D361" i="4"/>
  <c r="D364" i="4"/>
  <c r="B369" i="4"/>
  <c r="D366" i="4" l="1"/>
  <c r="A369" i="4"/>
  <c r="B373" i="4"/>
  <c r="B370" i="4"/>
  <c r="D370" i="4" s="1"/>
  <c r="D368" i="4"/>
  <c r="E369" i="4"/>
  <c r="B371" i="4"/>
  <c r="B374" i="4"/>
  <c r="D369" i="4" l="1"/>
  <c r="A374" i="4"/>
  <c r="B378" i="4"/>
  <c r="D374" i="4" s="1"/>
  <c r="E374" i="4"/>
  <c r="B375" i="4"/>
  <c r="D373" i="4"/>
  <c r="D371" i="4"/>
  <c r="E373" i="4"/>
  <c r="B376" i="4"/>
  <c r="D376" i="4" l="1"/>
  <c r="B379" i="4"/>
  <c r="E378" i="4"/>
  <c r="D375" i="4"/>
  <c r="B380" i="4" l="1"/>
  <c r="D380" i="4" s="1"/>
  <c r="B383" i="4"/>
  <c r="B384" i="4" s="1"/>
  <c r="B386" i="4" s="1"/>
  <c r="D378" i="4"/>
  <c r="E379" i="4"/>
  <c r="A379" i="4"/>
  <c r="B381" i="4"/>
  <c r="E383" i="4" l="1"/>
  <c r="D379" i="4"/>
  <c r="D381" i="4"/>
  <c r="D383" i="4"/>
  <c r="B388" i="4"/>
  <c r="B389" i="4" s="1"/>
  <c r="E384" i="4"/>
  <c r="A384" i="4"/>
  <c r="B385" i="4"/>
  <c r="D385" i="4" s="1"/>
  <c r="A389" i="4" l="1"/>
  <c r="E389" i="4"/>
  <c r="B390" i="4"/>
  <c r="D388" i="4"/>
  <c r="B393" i="4"/>
  <c r="D391" i="4" s="1"/>
  <c r="D386" i="4"/>
  <c r="E388" i="4"/>
  <c r="B394" i="4"/>
  <c r="B396" i="4" s="1"/>
  <c r="D384" i="4"/>
  <c r="B391" i="4"/>
  <c r="D390" i="4" l="1"/>
  <c r="D389" i="4"/>
  <c r="E393" i="4"/>
  <c r="B395" i="4"/>
  <c r="D395" i="4" s="1"/>
  <c r="B398" i="4"/>
  <c r="B399" i="4" s="1"/>
  <c r="E394" i="4"/>
  <c r="A394" i="4"/>
  <c r="D393" i="4"/>
  <c r="E398" i="4" l="1"/>
  <c r="B404" i="4"/>
  <c r="B406" i="4" s="1"/>
  <c r="B401" i="4"/>
  <c r="D401" i="4"/>
  <c r="E399" i="4"/>
  <c r="B403" i="4"/>
  <c r="E403" i="4" s="1"/>
  <c r="A399" i="4"/>
  <c r="B400" i="4"/>
  <c r="D400" i="4" s="1"/>
  <c r="D399" i="4"/>
  <c r="D398" i="4"/>
  <c r="D396" i="4"/>
  <c r="D394" i="4"/>
  <c r="D404" i="4" l="1"/>
  <c r="D403" i="4"/>
  <c r="B405" i="4"/>
  <c r="B407" i="4" s="1"/>
  <c r="B9" i="6" s="1"/>
  <c r="A404" i="4"/>
  <c r="D405" i="4"/>
  <c r="D406" i="4"/>
  <c r="E404" i="4"/>
  <c r="D29" i="6" l="1"/>
  <c r="C19" i="6"/>
  <c r="B15" i="6"/>
  <c r="A10" i="6"/>
  <c r="B19" i="6"/>
  <c r="C23" i="6"/>
  <c r="A9" i="6"/>
  <c r="B20" i="6"/>
  <c r="C24" i="6"/>
  <c r="C18" i="6"/>
  <c r="B11" i="6"/>
  <c r="B26" i="6"/>
  <c r="A13" i="6"/>
  <c r="B22" i="6"/>
  <c r="B21" i="6"/>
  <c r="B8" i="6"/>
  <c r="C17" i="6"/>
  <c r="C26" i="6"/>
  <c r="B23" i="6"/>
  <c r="A12" i="6"/>
  <c r="C22" i="6"/>
  <c r="B24" i="6"/>
  <c r="B16" i="6"/>
  <c r="B25" i="6"/>
  <c r="B18" i="6"/>
  <c r="C20" i="6"/>
  <c r="C27" i="6"/>
  <c r="C25" i="6"/>
  <c r="B27" i="6"/>
  <c r="B13" i="6"/>
  <c r="B5" i="6"/>
  <c r="B29" i="6"/>
  <c r="E29" i="6" s="1"/>
  <c r="B47" i="6"/>
  <c r="E47" i="6" s="1"/>
  <c r="C21" i="6"/>
  <c r="B12" i="6"/>
  <c r="B6" i="6"/>
  <c r="B17" i="6"/>
  <c r="B10" i="6"/>
  <c r="A11" i="6"/>
  <c r="B30" i="6"/>
  <c r="B34" i="6" l="1"/>
  <c r="B33" i="6"/>
  <c r="C16" i="6"/>
  <c r="C33" i="6" s="1"/>
  <c r="B31" i="6"/>
  <c r="B42" i="6"/>
  <c r="B43" i="6"/>
  <c r="B38" i="6"/>
  <c r="B36" i="6"/>
  <c r="A42" i="6"/>
  <c r="A43" i="6"/>
  <c r="B37" i="6"/>
  <c r="C34" i="6"/>
  <c r="C38" i="6" s="1"/>
  <c r="B44" i="6"/>
  <c r="C37" i="6" l="1"/>
  <c r="C36" i="6"/>
  <c r="B40" i="6" l="1"/>
  <c r="C45" i="6" s="1"/>
  <c r="D47" i="6" s="1"/>
  <c r="B48" i="6" s="1"/>
  <c r="B53" i="6" l="1"/>
  <c r="E53" i="6" s="1"/>
  <c r="D53" i="6"/>
  <c r="B51" i="6"/>
  <c r="B50" i="6"/>
  <c r="B54" i="6" l="1"/>
  <c r="B127" i="6"/>
  <c r="B126" i="6"/>
  <c r="C127" i="6"/>
  <c r="B118" i="6"/>
  <c r="C126" i="6"/>
  <c r="C90" i="6"/>
  <c r="C40" i="1" s="1"/>
  <c r="B89" i="1"/>
  <c r="C80" i="6"/>
  <c r="C42" i="1" s="1"/>
  <c r="C179" i="6"/>
  <c r="B185" i="6"/>
  <c r="B54" i="3" s="1"/>
  <c r="B179" i="6"/>
  <c r="B48" i="3" s="1"/>
  <c r="B144" i="6"/>
  <c r="B13" i="3" s="1"/>
  <c r="C180" i="6"/>
  <c r="B89" i="6"/>
  <c r="C109" i="6"/>
  <c r="C31" i="1" s="1"/>
  <c r="B182" i="6"/>
  <c r="B51" i="3" s="1"/>
  <c r="C147" i="6"/>
  <c r="B107" i="6"/>
  <c r="A118" i="6"/>
  <c r="B73" i="6"/>
  <c r="C100" i="6"/>
  <c r="C27" i="1" s="1"/>
  <c r="B146" i="6"/>
  <c r="B15" i="3" s="1"/>
  <c r="B141" i="6"/>
  <c r="C101" i="6"/>
  <c r="C21" i="1" s="1"/>
  <c r="C134" i="6"/>
  <c r="C5" i="3" s="1"/>
  <c r="C82" i="6"/>
  <c r="C43" i="1" s="1"/>
  <c r="A78" i="6"/>
  <c r="C121" i="6"/>
  <c r="C66" i="1" s="1"/>
  <c r="B69" i="6"/>
  <c r="B148" i="6"/>
  <c r="B17" i="3" s="1"/>
  <c r="B106" i="6"/>
  <c r="C144" i="6"/>
  <c r="B175" i="6"/>
  <c r="B44" i="3" s="1"/>
  <c r="B104" i="6"/>
  <c r="B90" i="6"/>
  <c r="C184" i="6"/>
  <c r="C177" i="6"/>
  <c r="B159" i="6"/>
  <c r="B28" i="3" s="1"/>
  <c r="B153" i="6"/>
  <c r="B22" i="3" s="1"/>
  <c r="C105" i="6"/>
  <c r="C29" i="1" s="1"/>
  <c r="B63" i="6"/>
  <c r="C116" i="6"/>
  <c r="C52" i="1" s="1"/>
  <c r="C81" i="1" s="1"/>
  <c r="B135" i="6"/>
  <c r="B56" i="6"/>
  <c r="C157" i="6"/>
  <c r="B183" i="6"/>
  <c r="B52" i="3" s="1"/>
  <c r="C107" i="6"/>
  <c r="C30" i="1" s="1"/>
  <c r="C98" i="6"/>
  <c r="C26" i="1" s="1"/>
  <c r="B178" i="6"/>
  <c r="B47" i="3" s="1"/>
  <c r="C60" i="6"/>
  <c r="B2" i="1" s="1"/>
  <c r="B187" i="6"/>
  <c r="B56" i="3" s="1"/>
  <c r="C66" i="6"/>
  <c r="C12" i="1" s="1"/>
  <c r="C75" i="1" s="1"/>
  <c r="C170" i="6"/>
  <c r="B61" i="6"/>
  <c r="B138" i="6"/>
  <c r="C149" i="6"/>
  <c r="B91" i="6"/>
  <c r="B170" i="6"/>
  <c r="B39" i="3" s="1"/>
  <c r="B96" i="6"/>
  <c r="B160" i="6"/>
  <c r="B29" i="3" s="1"/>
  <c r="B173" i="6"/>
  <c r="B42" i="3" s="1"/>
  <c r="A73" i="6"/>
  <c r="B186" i="6"/>
  <c r="B55" i="3" s="1"/>
  <c r="C151" i="6"/>
  <c r="B174" i="6"/>
  <c r="B43" i="3" s="1"/>
  <c r="C176" i="6"/>
  <c r="B66" i="6"/>
  <c r="A69" i="6"/>
  <c r="C106" i="6"/>
  <c r="C23" i="1" s="1"/>
  <c r="A114" i="6"/>
  <c r="A138" i="6"/>
  <c r="B94" i="6"/>
  <c r="C169" i="6"/>
  <c r="B93" i="6"/>
  <c r="C173" i="6"/>
  <c r="C142" i="6"/>
  <c r="C11" i="3" s="1"/>
  <c r="A96" i="6"/>
  <c r="B111" i="6"/>
  <c r="C97" i="6"/>
  <c r="C19" i="1" s="1"/>
  <c r="A141" i="6"/>
  <c r="C102" i="6"/>
  <c r="C28" i="1" s="1"/>
  <c r="B78" i="6"/>
  <c r="C146" i="6"/>
  <c r="B177" i="6"/>
  <c r="B46" i="3" s="1"/>
  <c r="B157" i="6"/>
  <c r="B26" i="3" s="1"/>
  <c r="C26" i="3" s="1"/>
  <c r="C148" i="6"/>
  <c r="C17" i="3" s="1"/>
  <c r="B143" i="6"/>
  <c r="B12" i="3" s="1"/>
  <c r="C124" i="6"/>
  <c r="C70" i="1" s="1"/>
  <c r="C84" i="1" s="1"/>
  <c r="C160" i="6"/>
  <c r="B129" i="6"/>
  <c r="C71" i="6"/>
  <c r="B84" i="6"/>
  <c r="C65" i="6"/>
  <c r="C163" i="6"/>
  <c r="B171" i="6"/>
  <c r="B40" i="3" s="1"/>
  <c r="C171" i="6"/>
  <c r="B165" i="6"/>
  <c r="B34" i="3" s="1"/>
  <c r="A133" i="6"/>
  <c r="C99" i="6"/>
  <c r="C20" i="1" s="1"/>
  <c r="C161" i="6"/>
  <c r="C158" i="6"/>
  <c r="C187" i="6"/>
  <c r="C182" i="6"/>
  <c r="C139" i="6"/>
  <c r="C9" i="3" s="1"/>
  <c r="B86" i="6"/>
  <c r="B142" i="6"/>
  <c r="B162" i="6"/>
  <c r="B31" i="3" s="1"/>
  <c r="C178" i="6"/>
  <c r="C185" i="6"/>
  <c r="B151" i="6"/>
  <c r="B20" i="3" s="1"/>
  <c r="C174" i="6"/>
  <c r="B75" i="6"/>
  <c r="B108" i="6"/>
  <c r="B88" i="6"/>
  <c r="B116" i="6"/>
  <c r="C67" i="6"/>
  <c r="B85" i="6"/>
  <c r="B156" i="6"/>
  <c r="B25" i="3" s="1"/>
  <c r="C153" i="6"/>
  <c r="B97" i="6"/>
  <c r="B166" i="6"/>
  <c r="B35" i="3" s="1"/>
  <c r="C61" i="6"/>
  <c r="B3" i="1" s="1"/>
  <c r="B67" i="6"/>
  <c r="B163" i="6"/>
  <c r="B32" i="3" s="1"/>
  <c r="C91" i="6"/>
  <c r="C47" i="1" s="1"/>
  <c r="C165" i="6"/>
  <c r="B120" i="6"/>
  <c r="B136" i="6"/>
  <c r="C87" i="6"/>
  <c r="C45" i="1" s="1"/>
  <c r="B164" i="6"/>
  <c r="B33" i="3" s="1"/>
  <c r="C145" i="6"/>
  <c r="B152" i="6"/>
  <c r="B21" i="3" s="1"/>
  <c r="C183" i="6"/>
  <c r="C166" i="6"/>
  <c r="B98" i="6"/>
  <c r="B155" i="6"/>
  <c r="B24" i="3" s="1"/>
  <c r="C135" i="6"/>
  <c r="C6" i="3" s="1"/>
  <c r="B181" i="6"/>
  <c r="B50" i="3" s="1"/>
  <c r="C189" i="6"/>
  <c r="C154" i="6"/>
  <c r="B158" i="6"/>
  <c r="B27" i="3" s="1"/>
  <c r="B168" i="6"/>
  <c r="B37" i="3" s="1"/>
  <c r="B131" i="6"/>
  <c r="C143" i="6"/>
  <c r="B147" i="6"/>
  <c r="B16" i="3" s="1"/>
  <c r="C16" i="3" s="1"/>
  <c r="B149" i="6"/>
  <c r="B18" i="3" s="1"/>
  <c r="A129" i="6"/>
  <c r="B154" i="6"/>
  <c r="B23" i="3" s="1"/>
  <c r="C23" i="3" s="1"/>
  <c r="B65" i="6"/>
  <c r="B172" i="6"/>
  <c r="B41" i="3" s="1"/>
  <c r="B167" i="6"/>
  <c r="B36" i="3" s="1"/>
  <c r="C152" i="6"/>
  <c r="C168" i="6"/>
  <c r="B71" i="6"/>
  <c r="B100" i="6"/>
  <c r="C104" i="6"/>
  <c r="C22" i="1" s="1"/>
  <c r="B87" i="6"/>
  <c r="B180" i="6"/>
  <c r="B49" i="3" s="1"/>
  <c r="C167" i="6"/>
  <c r="B105" i="6"/>
  <c r="C181" i="6"/>
  <c r="B103" i="6"/>
  <c r="B60" i="6"/>
  <c r="C164" i="6"/>
  <c r="C155" i="6"/>
  <c r="B145" i="6"/>
  <c r="B14" i="3" s="1"/>
  <c r="C89" i="6"/>
  <c r="C46" i="1" s="1"/>
  <c r="B114" i="6"/>
  <c r="B102" i="6"/>
  <c r="B184" i="6"/>
  <c r="B53" i="3" s="1"/>
  <c r="B109" i="6"/>
  <c r="B101" i="6"/>
  <c r="B188" i="6"/>
  <c r="B57" i="3" s="1"/>
  <c r="B80" i="6"/>
  <c r="C188" i="6"/>
  <c r="C123" i="6"/>
  <c r="C69" i="1" s="1"/>
  <c r="C83" i="1" s="1"/>
  <c r="C79" i="6"/>
  <c r="C35" i="1" s="1"/>
  <c r="B134" i="6"/>
  <c r="B81" i="6"/>
  <c r="C150" i="6"/>
  <c r="C81" i="6"/>
  <c r="C36" i="1" s="1"/>
  <c r="B99" i="6"/>
  <c r="B189" i="6"/>
  <c r="B58" i="3" s="1"/>
  <c r="C156" i="6"/>
  <c r="C175" i="6"/>
  <c r="C162" i="6"/>
  <c r="B76" i="6"/>
  <c r="C172" i="6"/>
  <c r="C84" i="6"/>
  <c r="C44" i="1" s="1"/>
  <c r="B79" i="6"/>
  <c r="B176" i="6"/>
  <c r="B45" i="3" s="1"/>
  <c r="C120" i="6"/>
  <c r="C136" i="6"/>
  <c r="C7" i="3" s="1"/>
  <c r="C83" i="6"/>
  <c r="C37" i="1" s="1"/>
  <c r="C86" i="6"/>
  <c r="C38" i="1" s="1"/>
  <c r="C159" i="6"/>
  <c r="B150" i="6"/>
  <c r="B19" i="3" s="1"/>
  <c r="B139" i="6"/>
  <c r="B133" i="6"/>
  <c r="C88" i="6"/>
  <c r="C39" i="1" s="1"/>
  <c r="C108" i="6"/>
  <c r="C24" i="1" s="1"/>
  <c r="B82" i="6"/>
  <c r="C186" i="6"/>
  <c r="B112" i="6"/>
  <c r="B83" i="6"/>
  <c r="B169" i="6"/>
  <c r="B38" i="3" s="1"/>
  <c r="B161" i="6"/>
  <c r="B30" i="3" s="1"/>
  <c r="B121" i="6" l="1"/>
  <c r="B124" i="6"/>
  <c r="B123" i="6"/>
  <c r="C65" i="1"/>
  <c r="C22" i="3"/>
  <c r="C131" i="6"/>
  <c r="C15" i="3"/>
  <c r="C52" i="3"/>
  <c r="C28" i="3"/>
  <c r="C51" i="3"/>
  <c r="C13" i="3"/>
  <c r="C48" i="3"/>
  <c r="C44" i="3"/>
  <c r="C47" i="3"/>
  <c r="C38" i="3"/>
  <c r="C43" i="3"/>
  <c r="C49" i="3"/>
  <c r="C54" i="3"/>
  <c r="C46" i="3"/>
  <c r="C39" i="3"/>
  <c r="C53" i="3"/>
  <c r="C45" i="3"/>
  <c r="C42" i="3"/>
  <c r="C55" i="3"/>
  <c r="C79" i="1"/>
  <c r="C12" i="3"/>
  <c r="C20" i="3"/>
  <c r="C112" i="6"/>
  <c r="C29" i="3"/>
  <c r="C18" i="3"/>
  <c r="C78" i="1"/>
  <c r="C56" i="3"/>
  <c r="C58" i="3"/>
  <c r="C14" i="3"/>
  <c r="C31" i="3"/>
  <c r="C30" i="3"/>
  <c r="C32" i="3"/>
  <c r="C40" i="3"/>
  <c r="C27" i="3"/>
  <c r="C36" i="3"/>
  <c r="C37" i="3"/>
  <c r="C111" i="6"/>
  <c r="C34" i="3"/>
  <c r="C21" i="3"/>
  <c r="C24" i="3"/>
  <c r="C33" i="3"/>
  <c r="C48" i="1"/>
  <c r="C77" i="1" s="1"/>
  <c r="C41" i="3"/>
  <c r="C85" i="1"/>
  <c r="C94" i="6"/>
  <c r="C50" i="3"/>
  <c r="C93" i="6"/>
  <c r="C19" i="3"/>
  <c r="C35" i="3"/>
  <c r="C80" i="1"/>
  <c r="C25" i="3"/>
  <c r="C57" i="3"/>
  <c r="C76" i="6" l="1"/>
  <c r="C75" i="6"/>
  <c r="C58" i="1"/>
  <c r="C82" i="1" s="1"/>
  <c r="C76" i="1" l="1"/>
  <c r="C13" i="1" s="1"/>
  <c r="C11" i="1" s="1"/>
  <c r="C74" i="1" l="1"/>
</calcChain>
</file>

<file path=xl/sharedStrings.xml><?xml version="1.0" encoding="utf-8"?>
<sst xmlns="http://schemas.openxmlformats.org/spreadsheetml/2006/main" count="2120" uniqueCount="827">
  <si>
    <t>Ashurst</t>
  </si>
  <si>
    <t>Australian Government Solicitor</t>
  </si>
  <si>
    <t>Clayton Utz</t>
  </si>
  <si>
    <t>Corrs Chambers Westgarth</t>
  </si>
  <si>
    <t>DLA Piper</t>
  </si>
  <si>
    <t>Herbert Smith Freehills</t>
  </si>
  <si>
    <t>Johnson Winter &amp; Slattery</t>
  </si>
  <si>
    <t>K&amp;L Gates</t>
  </si>
  <si>
    <t>Maddocks</t>
  </si>
  <si>
    <t>Sparke Helmore</t>
  </si>
  <si>
    <t>Commentary</t>
  </si>
  <si>
    <t>Overseas firms (single total figure, individual firm names not required)</t>
  </si>
  <si>
    <t>Total (External + Internal) Expenditure</t>
  </si>
  <si>
    <t>Total Internal Legal Services Expenditure</t>
  </si>
  <si>
    <t>Norton Rose Fulbright</t>
  </si>
  <si>
    <t>Department of Foreign Affairs and Trade</t>
  </si>
  <si>
    <t>Office of Parliamentary Counsel</t>
  </si>
  <si>
    <t>Total number of briefs to counsel</t>
  </si>
  <si>
    <t>Total number of direct briefs to male senior counsel</t>
  </si>
  <si>
    <t>Total number of indirect briefs to male senior counsel</t>
  </si>
  <si>
    <t>Total number of direct briefs to female senior counsel</t>
  </si>
  <si>
    <t>Total number of indirect briefs to female senior counsel</t>
  </si>
  <si>
    <t>Total value of direct briefs to male senior counsel</t>
  </si>
  <si>
    <t>Total value of indirect briefs to male senior counsel</t>
  </si>
  <si>
    <t>Total value of direct briefs to female senior counsel</t>
  </si>
  <si>
    <t>Total value of indirect briefs to female senior counsel</t>
  </si>
  <si>
    <t>Total number of direct briefs to male junior counsel</t>
  </si>
  <si>
    <t>Total number of indirect briefs to male junior counsel</t>
  </si>
  <si>
    <t>Total number of direct briefs to female junior counsel</t>
  </si>
  <si>
    <t>Total number of indirect briefs to female junior counsel</t>
  </si>
  <si>
    <t>Total value of direct briefs to male junior counsel</t>
  </si>
  <si>
    <t>Total value of indirect briefs to male junior counsel</t>
  </si>
  <si>
    <t>Total value of direct briefs to female junior counsel</t>
  </si>
  <si>
    <t>Total value of indirect briefs to female junior counsel</t>
  </si>
  <si>
    <t>T2 Total Internal Legal Services Expenditure</t>
  </si>
  <si>
    <t>T3 Total External Legal Services Expenditure</t>
  </si>
  <si>
    <t>T4 Total value of briefs to Counsel</t>
  </si>
  <si>
    <t>T1 Total Legal Services Expenditure (External + Internal)</t>
  </si>
  <si>
    <t>Total value of briefs to all counsel</t>
  </si>
  <si>
    <t>T5 Total value of briefs to Male Counsel</t>
  </si>
  <si>
    <t>T6 Total value of briefs to Female Counsel</t>
  </si>
  <si>
    <t>Summary totals</t>
  </si>
  <si>
    <t xml:space="preserve">Total External Legal Services Expenditure </t>
  </si>
  <si>
    <t>Value of briefs - direct and indirect briefs</t>
  </si>
  <si>
    <t>Number of briefs - direct and indirect briefs</t>
  </si>
  <si>
    <t>Senior Counsel</t>
  </si>
  <si>
    <t>Junior Counsel</t>
  </si>
  <si>
    <t>Disbursements</t>
  </si>
  <si>
    <t>Total Disbursements</t>
  </si>
  <si>
    <t>Total number of direct briefs to gender X senior counsel</t>
  </si>
  <si>
    <t>Total number of indirect briefs to gender X senior counsel</t>
  </si>
  <si>
    <t>Total value of direct briefs to gender X senior counsel</t>
  </si>
  <si>
    <t>Total value of indirect briefs to gender X senior counsel</t>
  </si>
  <si>
    <t>Total number of direct briefs to gender X junior counsel</t>
  </si>
  <si>
    <t>Total number of indirect briefs to gender X junior counsel</t>
  </si>
  <si>
    <t>Total value of direct briefs to gender X junior counsel</t>
  </si>
  <si>
    <t>Total value of indirect briefs to gender X junior counsel</t>
  </si>
  <si>
    <t>Allygroup</t>
  </si>
  <si>
    <t>Australian Business Lawyers &amp; Advisors (ABLA)</t>
  </si>
  <si>
    <t>Baker McKenzie</t>
  </si>
  <si>
    <t>Bartier Perry</t>
  </si>
  <si>
    <t>Beaumont Law</t>
  </si>
  <si>
    <t>Bradley Allen Love</t>
  </si>
  <si>
    <t>CCK Lawyers</t>
  </si>
  <si>
    <t>Colin Biggers &amp; Paisley</t>
  </si>
  <si>
    <t>Damian Lawyers</t>
  </si>
  <si>
    <t>Dentons Australia</t>
  </si>
  <si>
    <t>FAL Lawyers</t>
  </si>
  <si>
    <t>FOI Solutions</t>
  </si>
  <si>
    <t>Gadens</t>
  </si>
  <si>
    <t>Gilbert + Tobin</t>
  </si>
  <si>
    <t>Griffin Legal</t>
  </si>
  <si>
    <t>Griffith Hack</t>
  </si>
  <si>
    <t>HBA Legal</t>
  </si>
  <si>
    <t>Hicksons</t>
  </si>
  <si>
    <t>Holding Redlich</t>
  </si>
  <si>
    <t>HopgoodGanim Lawyers</t>
  </si>
  <si>
    <t>Hunt &amp; Hunt Lawyers</t>
  </si>
  <si>
    <t>HWL Ebsworth</t>
  </si>
  <si>
    <t>Jackson McDonald</t>
  </si>
  <si>
    <t>Keypoint Law</t>
  </si>
  <si>
    <t>King and Wood Mallesons</t>
  </si>
  <si>
    <t>KPMG Law</t>
  </si>
  <si>
    <t>Lander &amp; Rogers</t>
  </si>
  <si>
    <t>lawyerbank</t>
  </si>
  <si>
    <t>Lehmann Snell</t>
  </si>
  <si>
    <t>Lexbridge Lawyers</t>
  </si>
  <si>
    <t>Lipman Karas</t>
  </si>
  <si>
    <t>Makinson d'Apice</t>
  </si>
  <si>
    <t>McCullough Robertson</t>
  </si>
  <si>
    <t>McInnes Wilson Lawyers</t>
  </si>
  <si>
    <t>Meyer Vandenberg</t>
  </si>
  <si>
    <t>Mills Oakley</t>
  </si>
  <si>
    <t>MinterEllison</t>
  </si>
  <si>
    <t>Moray and Agnew</t>
  </si>
  <si>
    <t>Moulis Legal</t>
  </si>
  <si>
    <t>PricewaterhouseCoopers</t>
  </si>
  <si>
    <t>Proximity Advisory Services</t>
  </si>
  <si>
    <t>RBG Lawyers</t>
  </si>
  <si>
    <t>Russell Kennedy Solicitors</t>
  </si>
  <si>
    <t>Ryder Legal</t>
  </si>
  <si>
    <t>Squire Patton Boggs</t>
  </si>
  <si>
    <t>Terri Janke and Company</t>
  </si>
  <si>
    <t>Thompson Cooper Lawyers</t>
  </si>
  <si>
    <t>Thomson Geer</t>
  </si>
  <si>
    <t>Turks Legal</t>
  </si>
  <si>
    <t>Wisewould Mahony</t>
  </si>
  <si>
    <t>T7 Total value of briefs to gender X Counsel</t>
  </si>
  <si>
    <t>T8 Total value of disbursements (excluding counsel)</t>
  </si>
  <si>
    <t>Template Guidance</t>
  </si>
  <si>
    <t>Professional Fees for work done by non-Panel firms with an Exemption from AGD</t>
  </si>
  <si>
    <t>Use of the Panel</t>
  </si>
  <si>
    <t>Professional Fees for work done by non-Panel firms as part of 10% off-Panel allowance</t>
  </si>
  <si>
    <t>Total value of professional fees</t>
  </si>
  <si>
    <t>T9 Total value of professional fees</t>
  </si>
  <si>
    <t>T10 Total value of professional fees - 10% off-Panel allowance</t>
  </si>
  <si>
    <t>T11 Total value of professional fees - Exemption from AGD</t>
  </si>
  <si>
    <t>Whole of Australian Government Legal Services Panel</t>
  </si>
  <si>
    <t>Use of WoAG Legal Services Panel flexibility mechanisms</t>
  </si>
  <si>
    <t xml:space="preserve">Does your Agency participate in the WoAG Legal Services Panel?
</t>
  </si>
  <si>
    <t>Professional Fees</t>
  </si>
  <si>
    <t xml:space="preserve">
The Whole of Australian Government (WoAG) Legal Services Panel is mandatory for all non-corporate Commonwealth entities when purchasing domestic external legal services, and opt-in for corporate Commonwealth entities. 
Participating agencies must report their 10% off-Panel Allowance expenditure and Exemptions expenditure annually to AGD within 60 days after the end of each financial year. The Panel Guidance Material can be found at &lt;https://legalservicespanel.agdnet.ag.gov.au/&gt;.
The figures reported below in relation to the use of the WoAG Legal Services Panel flexibility mechanisms should already be captured in the total value of professional fees reported in professional fees. In order to prevent double counting, the expenditure through the flexibility mechanisms will not be added to the total legal expenditure. </t>
  </si>
  <si>
    <r>
      <t xml:space="preserve">Attorney-General's Department </t>
    </r>
    <r>
      <rPr>
        <b/>
        <sz val="11"/>
        <color rgb="FFFF0000"/>
        <rFont val="Arial"/>
        <family val="2"/>
      </rPr>
      <t>DO NOT INCLUDE PANEL FEE HERE</t>
    </r>
  </si>
  <si>
    <t>Craddock Murray Neumann</t>
  </si>
  <si>
    <t>Piper Alderman</t>
  </si>
  <si>
    <t>LSP_Name</t>
  </si>
  <si>
    <t xml:space="preserve">
Please complete worksheet named 'A - Professional Fees'. The below field will automatically populate based on the information in that sheet.</t>
  </si>
  <si>
    <t>Other Government legal services providers</t>
  </si>
  <si>
    <t>Overseas legal services providers</t>
  </si>
  <si>
    <t>Domestic legal services providers</t>
  </si>
  <si>
    <r>
      <t xml:space="preserve">
This template has been approved by the Office of Legal Services Coordination (OLSC).
The template must be completed by all non-corporate and corporate Commonwealth entities and returned to OLSC within 60 days after the end of the financial year (see s.11.1(da) and s.12.3(f) of the </t>
    </r>
    <r>
      <rPr>
        <b/>
        <i/>
        <sz val="11"/>
        <color rgb="FFFF0000"/>
        <rFont val="Arial"/>
        <family val="2"/>
      </rPr>
      <t>Legal Services Directions 2017</t>
    </r>
    <r>
      <rPr>
        <b/>
        <sz val="11"/>
        <color rgb="FFFF0000"/>
        <rFont val="Arial"/>
        <family val="2"/>
      </rPr>
      <t xml:space="preserve">). Further guidance in relation to expenditure reporting is set out in Guidance Note 3 (Compliance with the Directions) and Guidance Note 8 (Reporting of Legal Services Expenditure) and can be found at &lt;www.ag.gov.au&gt;. 
Agencies that are </t>
    </r>
    <r>
      <rPr>
        <b/>
        <u/>
        <sz val="11"/>
        <color rgb="FFFF0000"/>
        <rFont val="Arial"/>
        <family val="2"/>
      </rPr>
      <t>exempt from reporting to AGD but participate in the WoAG Legal Services Panel</t>
    </r>
    <r>
      <rPr>
        <b/>
        <sz val="11"/>
        <color rgb="FFFF0000"/>
        <rFont val="Arial"/>
        <family val="2"/>
      </rPr>
      <t xml:space="preserve"> must complete a Certificate of Compliance and Expenditure for Non-reporting Agency and provide it to AGD within 90 days after the end of the financial year.
Please return this form by uploading the Excel document to the Legal Services Panel Portal (Portal users only) or emailing a copy to LSER@ag.gov.au.
Expenditure is reported on an accrual basis, using your agencies financial records. No information will be drawn from the Legal Services Panel quarterly expenditure reports submitted by Legal Services Providers, due to the transitional period this financial year. All figures are to be GST exclusive and rounded to the nearest dollar.
In addition to completing this report, all non-corporate Commonwealth entities are required to publish their legal services expenditure for the previous year by 30 October. No format is specified for the publication, but most agencies publish the data in their annual report, or on their website.</t>
    </r>
  </si>
  <si>
    <t xml:space="preserve">
For domestic legal services providers, either select the firm from the drop down menu
(all WoAG Legal Services Panel firms are included)
or type firm name.</t>
  </si>
  <si>
    <t>ABN</t>
  </si>
  <si>
    <t>Geoscience Australia</t>
  </si>
  <si>
    <t>Department of Social Services</t>
  </si>
  <si>
    <t>92 661 124 436</t>
  </si>
  <si>
    <t>63 257 175 248</t>
  </si>
  <si>
    <t>36 342 015 855</t>
  </si>
  <si>
    <t>80 091 799 039</t>
  </si>
  <si>
    <t>agencyname</t>
  </si>
  <si>
    <t>abnumber</t>
  </si>
  <si>
    <t>Yes</t>
  </si>
  <si>
    <t>No</t>
  </si>
  <si>
    <t>Section 1</t>
  </si>
  <si>
    <t>Section 2</t>
  </si>
  <si>
    <t>What is this section?</t>
  </si>
  <si>
    <t>Counsel Briefs (explainer)</t>
  </si>
  <si>
    <t>Section 2a</t>
  </si>
  <si>
    <t>Briefs to Senior Counsel</t>
  </si>
  <si>
    <t>Section 2b</t>
  </si>
  <si>
    <t>Briefs to Junior Counsel</t>
  </si>
  <si>
    <t>Attorney-General's Department</t>
  </si>
  <si>
    <t>Section 3</t>
  </si>
  <si>
    <t>Disbursements (explainer)</t>
  </si>
  <si>
    <t>Section 4</t>
  </si>
  <si>
    <t>Internal Legal Services Expenditure (explainer)</t>
  </si>
  <si>
    <t>Internal Legal Services Expenditure</t>
  </si>
  <si>
    <t>Section 5</t>
  </si>
  <si>
    <t>Professional fees (explainer)</t>
  </si>
  <si>
    <t>Section 5a</t>
  </si>
  <si>
    <t>Other Government Legal Services Providers</t>
  </si>
  <si>
    <t>Overseas Legal Services Providers</t>
  </si>
  <si>
    <t>Section 5b</t>
  </si>
  <si>
    <t>Domestic Legal Services Providers</t>
  </si>
  <si>
    <t>Section 5c</t>
  </si>
  <si>
    <t>Webb Henderson</t>
  </si>
  <si>
    <t>Allens</t>
  </si>
  <si>
    <t>Hall &amp; Wilcox</t>
  </si>
  <si>
    <t>Harris Carlson Lawyers</t>
  </si>
  <si>
    <t>CK Law Pty Ltd</t>
  </si>
  <si>
    <t>CJV Legal Pty Ltd</t>
  </si>
  <si>
    <t>Davis Faulkner Lawyers</t>
  </si>
  <si>
    <t>Hays Specialist Recruitment</t>
  </si>
  <si>
    <t>Arnold Bloch Leibler</t>
  </si>
  <si>
    <t>Midena Lawyers</t>
  </si>
  <si>
    <t>Jaramer Legal</t>
  </si>
  <si>
    <t>Seyfarth Shaw Australia</t>
  </si>
  <si>
    <t>Justitia</t>
  </si>
  <si>
    <t>Camatta Lempens Pty Ltd Lawyers</t>
  </si>
  <si>
    <t>Kingston Reid</t>
  </si>
  <si>
    <t>Wallmans Lawyers</t>
  </si>
  <si>
    <t>Spruson &amp; Ferguson</t>
  </si>
  <si>
    <t>Robert Welfare &amp; Associates</t>
  </si>
  <si>
    <t>Allen &amp; Overy</t>
  </si>
  <si>
    <t>Bowden McCormack</t>
  </si>
  <si>
    <t>Williams Winter Solicitors</t>
  </si>
  <si>
    <t>VMC Legal Pty Ltd</t>
  </si>
  <si>
    <t>Crawshaw Consulting</t>
  </si>
  <si>
    <t>Elringtons</t>
  </si>
  <si>
    <t>Comhar Group</t>
  </si>
  <si>
    <t>Franke Hyland</t>
  </si>
  <si>
    <t>Bird &amp; Bird</t>
  </si>
  <si>
    <t>Simpsons Solicitors</t>
  </si>
  <si>
    <t>Carroll &amp; O'Dea</t>
  </si>
  <si>
    <t>KCI Lawyers</t>
  </si>
  <si>
    <t>Seaton Legal Pty Ltd</t>
  </si>
  <si>
    <t>Norman Waterhouse</t>
  </si>
  <si>
    <t>Banki Haddock Fiora</t>
  </si>
  <si>
    <t>Matthews Folbigg</t>
  </si>
  <si>
    <t>Firm</t>
  </si>
  <si>
    <t>PROVIDER NOT LISTED</t>
  </si>
  <si>
    <t>Administrative Appeals Tribunal</t>
  </si>
  <si>
    <t>90 680 970 626</t>
  </si>
  <si>
    <t>Aged Care Quality and Safety Commission</t>
  </si>
  <si>
    <t>80 246 994 451</t>
  </si>
  <si>
    <t>Airservices Australia</t>
  </si>
  <si>
    <t>59 698 720 886</t>
  </si>
  <si>
    <t>Anindilyakwa Land Council</t>
  </si>
  <si>
    <t>45 175 406 445</t>
  </si>
  <si>
    <t>Army and Air Force Canteen Service</t>
  </si>
  <si>
    <t>69 289 134 420</t>
  </si>
  <si>
    <t>Asbestos Safety and Eradication Agency</t>
  </si>
  <si>
    <t>50 802 255 175</t>
  </si>
  <si>
    <t>Australia Council</t>
  </si>
  <si>
    <t>38 392 626 187</t>
  </si>
  <si>
    <t>Australian Bureau of Statistics</t>
  </si>
  <si>
    <t>26 331 428 522</t>
  </si>
  <si>
    <t>Australian Centre for International Agricultural Research</t>
  </si>
  <si>
    <t>34 864 955 427</t>
  </si>
  <si>
    <t>Australian Commission for Law Enforcement Integrity</t>
  </si>
  <si>
    <t>78 796 734 093</t>
  </si>
  <si>
    <t>Australian Commission on Safety and Quality in Health Care</t>
  </si>
  <si>
    <t>97 250 687 371</t>
  </si>
  <si>
    <t>Australian Communications and Media Authority</t>
  </si>
  <si>
    <t>55 386 169 386</t>
  </si>
  <si>
    <t>Australian Competition and Consumer Commission</t>
  </si>
  <si>
    <t>94 410 483 623</t>
  </si>
  <si>
    <t>Australian Criminal Intelligence Commission</t>
  </si>
  <si>
    <t>11 259 448 410</t>
  </si>
  <si>
    <t>Australian Curriculum, Assessment and Reporting Authority</t>
  </si>
  <si>
    <t>54 735 928 084</t>
  </si>
  <si>
    <t>Australian Digital Health Agency</t>
  </si>
  <si>
    <t>84 425 496 912</t>
  </si>
  <si>
    <t>Australian Electoral Commission</t>
  </si>
  <si>
    <t>21 133 285 851</t>
  </si>
  <si>
    <t>Australian Federal Police</t>
  </si>
  <si>
    <t>17 864 931 143</t>
  </si>
  <si>
    <t>Australian Film, Television and Radio School</t>
  </si>
  <si>
    <t>19 892 732 021</t>
  </si>
  <si>
    <t>Australian Financial Security Authority</t>
  </si>
  <si>
    <t>63 384 330 717</t>
  </si>
  <si>
    <t>Australian Fisheries Management Authority</t>
  </si>
  <si>
    <t>81 098 497 517</t>
  </si>
  <si>
    <t>Australian Hearing Services</t>
  </si>
  <si>
    <t>80 308 797 003</t>
  </si>
  <si>
    <t>Australian Human Rights Commission</t>
  </si>
  <si>
    <t>47 996 232 602</t>
  </si>
  <si>
    <t>Australian Institute of Aboriginal and Torres Strait Islander Studies</t>
  </si>
  <si>
    <t>62 020 533 641</t>
  </si>
  <si>
    <t>Australian Institute of Criminology</t>
  </si>
  <si>
    <t>Australian Institute of Family Studies</t>
  </si>
  <si>
    <t>64 001 053 079</t>
  </si>
  <si>
    <t>Australian Institute of Health and Welfare</t>
  </si>
  <si>
    <t>16 515 245 497</t>
  </si>
  <si>
    <t>Australian Institute of Marine Science</t>
  </si>
  <si>
    <t>78 961 616 230</t>
  </si>
  <si>
    <t>Australian Law Reform Commission</t>
  </si>
  <si>
    <t>88 913 413 914</t>
  </si>
  <si>
    <t>Australian Maritime Safety Authority</t>
  </si>
  <si>
    <t>65 377 938 320</t>
  </si>
  <si>
    <t>Australian Military Forces Relief Trust Fund</t>
  </si>
  <si>
    <t>52 168 913 646</t>
  </si>
  <si>
    <t>Australian National Audit Office</t>
  </si>
  <si>
    <t>33 020 645 631</t>
  </si>
  <si>
    <t>Australian National Maritime Museum</t>
  </si>
  <si>
    <t>35 023 590 988</t>
  </si>
  <si>
    <t>Australian Nuclear Science and Technology Organisation</t>
  </si>
  <si>
    <t>47 956 969 590</t>
  </si>
  <si>
    <t>Australian Office of Financial Management</t>
  </si>
  <si>
    <t>13 059 525 039</t>
  </si>
  <si>
    <t>Australian Pesticides and Veterinary Medicines Authority</t>
  </si>
  <si>
    <t>19 495 043 447</t>
  </si>
  <si>
    <t>Australian Prudential Regulation Authority</t>
  </si>
  <si>
    <t>79 635 582 658</t>
  </si>
  <si>
    <t>Australian Public Service Commission</t>
  </si>
  <si>
    <t>99 470 863 260</t>
  </si>
  <si>
    <t>Australian Radiation Protection and Nuclear Safety Agency</t>
  </si>
  <si>
    <t>61 321 195 155</t>
  </si>
  <si>
    <t>Australian Reinsurance Pool Corporation</t>
  </si>
  <si>
    <t>74 807 136 872</t>
  </si>
  <si>
    <t>Australian Renewable Energy Agency</t>
  </si>
  <si>
    <t>35 931 927 899</t>
  </si>
  <si>
    <t>Australian Research Council</t>
  </si>
  <si>
    <t>35 201 451 156</t>
  </si>
  <si>
    <t>Australian Securities and Investments Commission</t>
  </si>
  <si>
    <t>86 768 265 615</t>
  </si>
  <si>
    <t>Australian Skills Quality Authority</t>
  </si>
  <si>
    <t>72 581 678 650</t>
  </si>
  <si>
    <t>Australian Sports Commission</t>
  </si>
  <si>
    <t>67 374 695 240</t>
  </si>
  <si>
    <t>Australian Taxation Office</t>
  </si>
  <si>
    <t>Australian Trade and Investment Commission (Austrade)</t>
  </si>
  <si>
    <t>11 764 698 227</t>
  </si>
  <si>
    <t>Australian Transaction Reports and Analysis Centre</t>
  </si>
  <si>
    <t xml:space="preserve">32 770 513 371 </t>
  </si>
  <si>
    <t>Australian Transport Safety Bureau</t>
  </si>
  <si>
    <t>65 061 156 887</t>
  </si>
  <si>
    <t>Australian War Memorial</t>
  </si>
  <si>
    <t>64 909 221 257</t>
  </si>
  <si>
    <t>Bureau of Meteorology</t>
  </si>
  <si>
    <t>92 637 533 532</t>
  </si>
  <si>
    <t>Cancer Australia</t>
  </si>
  <si>
    <t>Central Land Council</t>
  </si>
  <si>
    <t>Civil Aviation Safety Authority</t>
  </si>
  <si>
    <t>44 808 014 470</t>
  </si>
  <si>
    <t>Clean Energy Finance Corporation</t>
  </si>
  <si>
    <t>43 669 904 352</t>
  </si>
  <si>
    <t>Clean Energy Regulator</t>
  </si>
  <si>
    <t>Climate Change Authority</t>
  </si>
  <si>
    <t>60 585 018 782</t>
  </si>
  <si>
    <t>Coal Mining Industry (Long Service Leave Funding) Corporation</t>
  </si>
  <si>
    <t>12 039 670 644</t>
  </si>
  <si>
    <t>Comcare</t>
  </si>
  <si>
    <t>41 640 788 304</t>
  </si>
  <si>
    <t>Commonwealth Grants Commission</t>
  </si>
  <si>
    <t>64 703 642 210</t>
  </si>
  <si>
    <t>Commonwealth Scientific and Industrial Research Organisation</t>
  </si>
  <si>
    <t>41 687 119 230</t>
  </si>
  <si>
    <t>Commonwealth Superannuation Corporation</t>
  </si>
  <si>
    <t>48 882 817 243</t>
  </si>
  <si>
    <t>Cotton Research and Development Corporation</t>
  </si>
  <si>
    <t>71 054 238 316</t>
  </si>
  <si>
    <t>Department of Defence</t>
  </si>
  <si>
    <t>68 706 814 312</t>
  </si>
  <si>
    <t>12 862 898 150</t>
  </si>
  <si>
    <t>Department of Finance</t>
  </si>
  <si>
    <t>61 970 632 495</t>
  </si>
  <si>
    <t>47 065 634 525</t>
  </si>
  <si>
    <t>83 605 426 759</t>
  </si>
  <si>
    <t>Department of Home Affairs</t>
  </si>
  <si>
    <t>33 380 054 835</t>
  </si>
  <si>
    <t>74 599 608 295</t>
  </si>
  <si>
    <t>86 267 354 017</t>
  </si>
  <si>
    <t>Department of Parliamentary Services</t>
  </si>
  <si>
    <t>52 997 141 147</t>
  </si>
  <si>
    <t>Department of the House of Representatives</t>
  </si>
  <si>
    <t>18 526 287 740</t>
  </si>
  <si>
    <t>Department of the Prime Minister and Cabinet</t>
  </si>
  <si>
    <t>18 108 001 191</t>
  </si>
  <si>
    <t>Department of the Senate</t>
  </si>
  <si>
    <t>23 991 641 527</t>
  </si>
  <si>
    <t>Department of the Treasury</t>
  </si>
  <si>
    <t>92 802 414 793</t>
  </si>
  <si>
    <t>Department of Veterans' Affairs</t>
  </si>
  <si>
    <t>Digital Transformation Agency</t>
  </si>
  <si>
    <t>96 257 979 159</t>
  </si>
  <si>
    <t>Director of National Parks</t>
  </si>
  <si>
    <t>13 051 694 963</t>
  </si>
  <si>
    <t>Export Finance and Insurance Corporation (Export Finance Australia)</t>
  </si>
  <si>
    <t>96 874 024 697</t>
  </si>
  <si>
    <t>Fair Work Commission</t>
  </si>
  <si>
    <t>93 614 579 199</t>
  </si>
  <si>
    <t>43 884 188 232</t>
  </si>
  <si>
    <t>Federal Court of Australia</t>
  </si>
  <si>
    <t>49 110 847 399</t>
  </si>
  <si>
    <t>Fisheries Research and Development Corporation</t>
  </si>
  <si>
    <t>74 311 094 913</t>
  </si>
  <si>
    <t>Food Standards Australia New Zealand</t>
  </si>
  <si>
    <t>20 537 066 246</t>
  </si>
  <si>
    <t>Future Fund Management Agency</t>
  </si>
  <si>
    <t>Grains Research and Development Corporation</t>
  </si>
  <si>
    <t>55 611 223 291</t>
  </si>
  <si>
    <t>Great Barrier Reef Marine Park Authority</t>
  </si>
  <si>
    <t>12 949 356 885</t>
  </si>
  <si>
    <t>27 598 959 960</t>
  </si>
  <si>
    <t>Independent Parliamentary Expenses Authority</t>
  </si>
  <si>
    <t>Indigenous Business Australia</t>
  </si>
  <si>
    <t>Indigenous Land and Sea Corporation</t>
  </si>
  <si>
    <t>59 912 679 254</t>
  </si>
  <si>
    <t>Infrastructure Australia</t>
  </si>
  <si>
    <t>49 150 585 136</t>
  </si>
  <si>
    <t>Inspector-General of Taxation</t>
  </si>
  <si>
    <t>51 248 702 319</t>
  </si>
  <si>
    <t>IP Australia</t>
  </si>
  <si>
    <t>38 113 072 755</t>
  </si>
  <si>
    <t>Murray-Darling Basin Authority</t>
  </si>
  <si>
    <t>13 679 821 382</t>
  </si>
  <si>
    <t>National Archives of Australia</t>
  </si>
  <si>
    <t>36 889 228 992</t>
  </si>
  <si>
    <t>National Blood Authority</t>
  </si>
  <si>
    <t>87 361 602 478</t>
  </si>
  <si>
    <t>National Capital Authority</t>
  </si>
  <si>
    <t>75 149 374 427</t>
  </si>
  <si>
    <t>National Competition Council</t>
  </si>
  <si>
    <t>56 552 760 098</t>
  </si>
  <si>
    <t>National Disability Insurance Agency</t>
  </si>
  <si>
    <t>25 617 475 104</t>
  </si>
  <si>
    <t>National Faster Rail Agency</t>
  </si>
  <si>
    <t>37 602 468 249</t>
  </si>
  <si>
    <t>National Film and Sound Archive of Australia</t>
  </si>
  <si>
    <t>41 251 017 588</t>
  </si>
  <si>
    <t>National Gallery of Australia</t>
  </si>
  <si>
    <t>27 855 975 449</t>
  </si>
  <si>
    <t>National Health and Medical Research Council</t>
  </si>
  <si>
    <t>88 601 010 284</t>
  </si>
  <si>
    <t>National Health Funding Body</t>
  </si>
  <si>
    <t>15 337 761 242</t>
  </si>
  <si>
    <t>National Housing Finance and Investment Corporation</t>
  </si>
  <si>
    <t>22 498 714 570</t>
  </si>
  <si>
    <t>National Indigenous Australians Agency</t>
  </si>
  <si>
    <t>30 429 895 164</t>
  </si>
  <si>
    <t>National Library of Australia</t>
  </si>
  <si>
    <t>28 346 858 075</t>
  </si>
  <si>
    <t>National Mental Health Commission</t>
  </si>
  <si>
    <t>83 537 016 476</t>
  </si>
  <si>
    <t>National Museum of Australia</t>
  </si>
  <si>
    <t>70 592 297 967</t>
  </si>
  <si>
    <t>National Offshore Petroleum Safety and Environmental Management Authority</t>
  </si>
  <si>
    <t>22 385 178 289</t>
  </si>
  <si>
    <t>National Portrait Gallery of Australia</t>
  </si>
  <si>
    <t>54 742 771 196</t>
  </si>
  <si>
    <t>National Transport Commission</t>
  </si>
  <si>
    <t>67 890 861 578</t>
  </si>
  <si>
    <t>NDIS Quality and Safeguards Commission</t>
  </si>
  <si>
    <t>40 293 545 182</t>
  </si>
  <si>
    <t>North Queensland Water Infrastructure Authority</t>
  </si>
  <si>
    <t>61 900 398 761</t>
  </si>
  <si>
    <t>83 960 779 392</t>
  </si>
  <si>
    <t>Northern Land Council</t>
  </si>
  <si>
    <t>41 425 630 817</t>
  </si>
  <si>
    <t>Office of the Auditing and Assurance Standards Board</t>
  </si>
  <si>
    <t>80 959 780 601</t>
  </si>
  <si>
    <t>92 702 019 575</t>
  </si>
  <si>
    <t>Office of the Australian Information Commissioner</t>
  </si>
  <si>
    <t>85 249 230 937</t>
  </si>
  <si>
    <t>Office of the Commonwealth Ombudsman</t>
  </si>
  <si>
    <t>53 003 678 148</t>
  </si>
  <si>
    <t>Office of the Director of Public Prosecutions</t>
  </si>
  <si>
    <t>41 036 606 436</t>
  </si>
  <si>
    <t>Office of the Inspector-General of Intelligence and Security</t>
  </si>
  <si>
    <t>67 332 668 643</t>
  </si>
  <si>
    <t>Office of the Official Secretary to the Governor-General</t>
  </si>
  <si>
    <t>67 582 329 284</t>
  </si>
  <si>
    <t>Office of the Special Investigator</t>
  </si>
  <si>
    <t>87 767 208 148</t>
  </si>
  <si>
    <t>Old Parliament House</t>
  </si>
  <si>
    <t>30 620 774 963</t>
  </si>
  <si>
    <t>Organ and Tissue Authority</t>
  </si>
  <si>
    <t>56 253 405 315</t>
  </si>
  <si>
    <t>Parliamentary Budget Office</t>
  </si>
  <si>
    <t>49 775 240 532</t>
  </si>
  <si>
    <t>Productivity Commission</t>
  </si>
  <si>
    <t>78 094 372 050</t>
  </si>
  <si>
    <t>Professional Services Review</t>
  </si>
  <si>
    <t>45 307 308 260</t>
  </si>
  <si>
    <t>Regional Investment Corporation</t>
  </si>
  <si>
    <t>99 528 049 038</t>
  </si>
  <si>
    <t>Reserve Bank of Australia</t>
  </si>
  <si>
    <t>50 008 559 486</t>
  </si>
  <si>
    <t>Royal Australian Air Force Veterans' Residences Trust Fund</t>
  </si>
  <si>
    <t>40 594 141 285</t>
  </si>
  <si>
    <t>Royal Australian Air Force Welfare Trust Fund</t>
  </si>
  <si>
    <t>24 616 803 717</t>
  </si>
  <si>
    <t>Royal Australian Mint</t>
  </si>
  <si>
    <t>45 852 104 259</t>
  </si>
  <si>
    <t>Royal Australian Navy Central Canteens Board</t>
  </si>
  <si>
    <t>50 616 294 781</t>
  </si>
  <si>
    <t>Royal Australian Navy Relief Trust Fund</t>
  </si>
  <si>
    <t>49 934 525 476</t>
  </si>
  <si>
    <t>Rural Industries Research and Development Corporation (AgriFutures Australia)</t>
  </si>
  <si>
    <t>25 203 754 319</t>
  </si>
  <si>
    <t>Safe Work Australia</t>
  </si>
  <si>
    <t>81 840 374 163</t>
  </si>
  <si>
    <t>Screen Australia</t>
  </si>
  <si>
    <t>46 741 353 180</t>
  </si>
  <si>
    <t>Seafarers Safety, Rehabilitation and Compensation Authority (Seacare Authority)</t>
  </si>
  <si>
    <t>32 745 854 352</t>
  </si>
  <si>
    <t>Services Australia</t>
  </si>
  <si>
    <t>90 794 605 008</t>
  </si>
  <si>
    <t>Sport Integrity Australia</t>
  </si>
  <si>
    <t>70 588 505 483</t>
  </si>
  <si>
    <t>Sydney Harbour Federation Trust</t>
  </si>
  <si>
    <t>14 178 614 905</t>
  </si>
  <si>
    <t>Tertiary Education Quality and Standards Agency</t>
  </si>
  <si>
    <t>50 658 250 012</t>
  </si>
  <si>
    <t>Tiwi Land Council</t>
  </si>
  <si>
    <t>86 106 441 085</t>
  </si>
  <si>
    <t>Torres Strait Regional Authority</t>
  </si>
  <si>
    <t>57 155 285 807</t>
  </si>
  <si>
    <t>Tourism Australia</t>
  </si>
  <si>
    <t>99 657 548 712</t>
  </si>
  <si>
    <t>Wine Australia</t>
  </si>
  <si>
    <t>89 636 749 924</t>
  </si>
  <si>
    <t>Workplace Gender Equality Agency</t>
  </si>
  <si>
    <t>47 641 643 874</t>
  </si>
  <si>
    <t>Wreck Bay Aboriginal Community Council</t>
  </si>
  <si>
    <t>62 564 797 956</t>
  </si>
  <si>
    <t>total</t>
  </si>
  <si>
    <t>external</t>
  </si>
  <si>
    <t>internal</t>
  </si>
  <si>
    <t/>
  </si>
  <si>
    <t>Summary</t>
  </si>
  <si>
    <t>Domestic Provider 2</t>
  </si>
  <si>
    <t>Domestic Provider 3</t>
  </si>
  <si>
    <t>Domestic Provider 4</t>
  </si>
  <si>
    <t>Domestic Provider 5</t>
  </si>
  <si>
    <t>Domestic Provider 6</t>
  </si>
  <si>
    <t>Domestic Provider 7</t>
  </si>
  <si>
    <t>Domestic Provider 8</t>
  </si>
  <si>
    <t>Domestic Provider 9</t>
  </si>
  <si>
    <t>Domestic Provider 10</t>
  </si>
  <si>
    <t>Domestic Provider 11</t>
  </si>
  <si>
    <t>Domestic Provider 12</t>
  </si>
  <si>
    <t>Domestic Provider 13</t>
  </si>
  <si>
    <t>Domestic Provider 14</t>
  </si>
  <si>
    <t>Domestic Provider 15</t>
  </si>
  <si>
    <t>Domestic Provider 16</t>
  </si>
  <si>
    <t>Domestic Provider 17</t>
  </si>
  <si>
    <t>Domestic Provider 18</t>
  </si>
  <si>
    <t>Domestic Provider 19</t>
  </si>
  <si>
    <t>Domestic Provider 20</t>
  </si>
  <si>
    <t>Domestic Provider 21</t>
  </si>
  <si>
    <t>Domestic Provider 22</t>
  </si>
  <si>
    <t>Domestic Provider 23</t>
  </si>
  <si>
    <t>Domestic Provider 24</t>
  </si>
  <si>
    <t>Domestic Provider 25</t>
  </si>
  <si>
    <t>Domestic Provider 26</t>
  </si>
  <si>
    <t>Domestic Provider 27</t>
  </si>
  <si>
    <t>Domestic Provider 28</t>
  </si>
  <si>
    <t>Domestic Provider 29</t>
  </si>
  <si>
    <t>Domestic Provider 30</t>
  </si>
  <si>
    <t>Domestic Provider 31</t>
  </si>
  <si>
    <t>Domestic Provider 32</t>
  </si>
  <si>
    <t>Domestic Provider 33</t>
  </si>
  <si>
    <t>Domestic Provider 34</t>
  </si>
  <si>
    <t>Domestic Provider 35</t>
  </si>
  <si>
    <t>Domestic Provider 36</t>
  </si>
  <si>
    <t>Domestic Provider 37</t>
  </si>
  <si>
    <t>Domestic Provider 38</t>
  </si>
  <si>
    <t>Domestic Provider 39</t>
  </si>
  <si>
    <t>Domestic Provider 40</t>
  </si>
  <si>
    <t>Domestic Provider 41</t>
  </si>
  <si>
    <t>Domestic Provider 42</t>
  </si>
  <si>
    <t>Domestic Provider 43</t>
  </si>
  <si>
    <t>Domestic Provider 44</t>
  </si>
  <si>
    <t>Domestic Provider 45</t>
  </si>
  <si>
    <t>Domestic Provider 46</t>
  </si>
  <si>
    <t>Domestic Provider 47</t>
  </si>
  <si>
    <t>Domestic Provider 48</t>
  </si>
  <si>
    <t>Domestic Provider 49</t>
  </si>
  <si>
    <t>Domestic Provider 50</t>
  </si>
  <si>
    <t>Domestic Provider 51</t>
  </si>
  <si>
    <t>Domestic Provider 52</t>
  </si>
  <si>
    <t>Domestic Provider 53</t>
  </si>
  <si>
    <t>Domestic Provider 54</t>
  </si>
  <si>
    <t>Domestic Provider 55</t>
  </si>
  <si>
    <t>Domestic Provider 56</t>
  </si>
  <si>
    <t>Domestic Provider 57</t>
  </si>
  <si>
    <t>Domestic Provider 58</t>
  </si>
  <si>
    <t>Domestic Provider 59</t>
  </si>
  <si>
    <t>Domestic Provider 60</t>
  </si>
  <si>
    <t>NCCE</t>
  </si>
  <si>
    <t>CCE</t>
  </si>
  <si>
    <t>entitytype</t>
  </si>
  <si>
    <t>onthepanel</t>
  </si>
  <si>
    <t>Check</t>
  </si>
  <si>
    <t>Check details to proceed</t>
  </si>
  <si>
    <t>N/A</t>
  </si>
  <si>
    <t>How to use this template</t>
  </si>
  <si>
    <t>How should information be reported?</t>
  </si>
  <si>
    <t>How do I submit a completed template?</t>
  </si>
  <si>
    <t>A reminder of further obligations</t>
  </si>
  <si>
    <t>What is internal legal services expenditure?</t>
  </si>
  <si>
    <t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t>
  </si>
  <si>
    <t>How is internal legal services expenditure reported?</t>
  </si>
  <si>
    <t xml:space="preserve">
Only enter whole dollar amount. Figures including cents will not be accepted. If there was no expenditure, enter '0' for a total value of $0.
</t>
  </si>
  <si>
    <t>What is the difference between senior and junior counsel?</t>
  </si>
  <si>
    <t>What is the difference between direct and indirect briefing?</t>
  </si>
  <si>
    <t xml:space="preserve">
Indirect briefing is when a legal services provider briefs counsel.
Direct briefing is when an entity briefs counsel directly, rather than through a legal services provider.
</t>
  </si>
  <si>
    <t>How are briefs reported?</t>
  </si>
  <si>
    <t>Section 3 - Disbursements</t>
  </si>
  <si>
    <t>What are disbursements?</t>
  </si>
  <si>
    <t>How are disbursements reported?</t>
  </si>
  <si>
    <t xml:space="preserve">
The figure must be a whole dollar amount, GST exclusive. Figures including cents will not be accepted. If there were no disbursements, enter '0' for a total value of $0. 
</t>
  </si>
  <si>
    <t>Section 4 – Legal Services Panels</t>
  </si>
  <si>
    <t>What expenditure is to be reported?</t>
  </si>
  <si>
    <t>How is legal services panel expenditure reported?</t>
  </si>
  <si>
    <t xml:space="preserve">
The figures must be in whole dollar amounts, GST exclusive. Figures including cents will not be accepted. If there was no expenditure, enter '0' for a value of $0.
</t>
  </si>
  <si>
    <t>Section 5 – Professional fees</t>
  </si>
  <si>
    <t>What are other government providers?</t>
  </si>
  <si>
    <t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t>
  </si>
  <si>
    <t>What are overseas providers?</t>
  </si>
  <si>
    <t>What are domestic providers?</t>
  </si>
  <si>
    <t>How is expenditure on professional fees reported?</t>
  </si>
  <si>
    <t xml:space="preserve">Summary Totals </t>
  </si>
  <si>
    <t>What are the summary totals?</t>
  </si>
  <si>
    <t>Expenditure comparison</t>
  </si>
  <si>
    <t xml:space="preserve">
Do I need to provide commentary?
</t>
  </si>
  <si>
    <t>Explaining a significant change in expenditure</t>
  </si>
  <si>
    <t>Proceed to final confirmation</t>
  </si>
  <si>
    <t>Please read below</t>
  </si>
  <si>
    <t>Report complete</t>
  </si>
  <si>
    <t>panelfee</t>
  </si>
  <si>
    <t>Need further assistance?</t>
  </si>
  <si>
    <t xml:space="preserve">
If you require further assistance to complete this template please get in touch with OLSC:
Phone: (02) 6141 3642
Email: LSER@ag.gov.au
</t>
  </si>
  <si>
    <t>Please confirm that you have read and understood the Template Guidance</t>
  </si>
  <si>
    <t xml:space="preserve"> Internal Legal Services Expenditure (explainer)</t>
  </si>
  <si>
    <t>Please confirm that you have read and understood the Internal Legal Services Expenditure explainer</t>
  </si>
  <si>
    <t>Please confirm you have read and understood the counsel briefs explainer</t>
  </si>
  <si>
    <t>Please confirm you have read and understood the Disbursements explainer</t>
  </si>
  <si>
    <t>Please confirm you have read and understood the Legal Services Panels explainer</t>
  </si>
  <si>
    <t>Legal Services Panels (explainer)</t>
  </si>
  <si>
    <t>Legal Services Panels</t>
  </si>
  <si>
    <t>Please confirm that you have read and understood the Professional Fees explainer</t>
  </si>
  <si>
    <t>Additional guidance for domestic providers</t>
  </si>
  <si>
    <t>E</t>
  </si>
  <si>
    <t>O</t>
  </si>
  <si>
    <t>B</t>
  </si>
  <si>
    <t>I confirm</t>
  </si>
  <si>
    <t>I do not confirm</t>
  </si>
  <si>
    <t>H</t>
  </si>
  <si>
    <t>L</t>
  </si>
  <si>
    <t>A</t>
  </si>
  <si>
    <t>Total value of internal legal services expenditure</t>
  </si>
  <si>
    <t>Direct Briefs to male junior counsel</t>
  </si>
  <si>
    <t>Total number</t>
  </si>
  <si>
    <t>Total value</t>
  </si>
  <si>
    <t>Direct Briefs to female junior counsel</t>
  </si>
  <si>
    <t>Direct Briefs to gender X junior counsel</t>
  </si>
  <si>
    <t>Indirect Briefs to male junior counsel</t>
  </si>
  <si>
    <t>Indirect Briefs to female junior counsel</t>
  </si>
  <si>
    <t>Indirect Briefs to gender X junior counsel</t>
  </si>
  <si>
    <t>Direct Briefs to male senior counsel</t>
  </si>
  <si>
    <t>Direct Briefs to female senior counsel</t>
  </si>
  <si>
    <t>Direct Briefs to gender X senior counsel</t>
  </si>
  <si>
    <t>Total value of disbursements</t>
  </si>
  <si>
    <t>Provision of Tax Technical Legal Services Panel</t>
  </si>
  <si>
    <t>Panel fee</t>
  </si>
  <si>
    <t>Panel flexibility mechanisms</t>
  </si>
  <si>
    <t>Attorney-General's Department (DO NOT INCLUDE PANEL FEE)</t>
  </si>
  <si>
    <t>Total value of expenditure</t>
  </si>
  <si>
    <t>What is the Summary sheet?</t>
  </si>
  <si>
    <t>What is section 1?</t>
  </si>
  <si>
    <t>What is section 2?</t>
  </si>
  <si>
    <t>What is section 3?</t>
  </si>
  <si>
    <t>What is section 4?</t>
  </si>
  <si>
    <t>What is section 5?</t>
  </si>
  <si>
    <t>Entity details</t>
  </si>
  <si>
    <t>What if the entity name or ABN is incorrect?</t>
  </si>
  <si>
    <t xml:space="preserve">
In section 2 you are required to report the details of your entity's briefs to counsel.
</t>
  </si>
  <si>
    <t xml:space="preserve">
In section 3 you are required to report total value of your entity’s expenditure on disbursements. 
</t>
  </si>
  <si>
    <t xml:space="preserve">
In section 4 you are required to report information about your entity's use of legal services panels.
</t>
  </si>
  <si>
    <t xml:space="preserve">
In section 5 you are required to report on your entity's expenditure on professional fees.
</t>
  </si>
  <si>
    <t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t>
  </si>
  <si>
    <t xml:space="preserve">
In addition to completing this template, all non-corporate Commonwealth entities are required to publish their legal services expenditure by 30 October.
</t>
  </si>
  <si>
    <t xml:space="preserve">
In this section you are required to report the total value of your entity’s expenditure on disbursements. 
</t>
  </si>
  <si>
    <t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t>
  </si>
  <si>
    <t>ACCC/AER Competition and Consumer Law Panel 2019</t>
  </si>
  <si>
    <t xml:space="preserve">
Some entities engage external legal services providers that are outside of Australia (i.e. not domestic). OLSC does not require the name of each overseas legal services provider. Instead provide one consolidated value for these professional fees.
</t>
  </si>
  <si>
    <t xml:space="preserve">
Domestic external legal services providers include solicitors and similar service providers, including government legal services providers such as the Austrailan Government Solicitor (AGS), that conduct their business in Australia. 
</t>
  </si>
  <si>
    <t xml:space="preserve">
The Summary sheet is only visible once you have confirmed that the Entry form is complete following inclusion of the last domestic legal services provider in section 5c.
</t>
  </si>
  <si>
    <t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t>
  </si>
  <si>
    <t>Is another domestic provider required?</t>
  </si>
  <si>
    <t>Indirect Briefs to male senior counsel</t>
  </si>
  <si>
    <t>Indirect Briefs to female senior counsel</t>
  </si>
  <si>
    <t>Indirect Briefs to gender X senior counsel</t>
  </si>
  <si>
    <t>Does your entity participate in the Whole of Australian Government Legal Services Panel?</t>
  </si>
  <si>
    <t>Entity Details</t>
  </si>
  <si>
    <t>What is the name of your entity? (Choose from list)</t>
  </si>
  <si>
    <t>ENTITY NOT LISTED</t>
  </si>
  <si>
    <t>26 424 781 530</t>
  </si>
  <si>
    <t>LK Law Pty Ltd</t>
  </si>
  <si>
    <t xml:space="preserve">Adaptbl </t>
  </si>
  <si>
    <t>Addisons</t>
  </si>
  <si>
    <t xml:space="preserve">Australian Family Lawyers </t>
  </si>
  <si>
    <t>BAL Lawyers</t>
  </si>
  <si>
    <t>Balazs Lazanas &amp; Welch LLP</t>
  </si>
  <si>
    <t>Bambrick Legal</t>
  </si>
  <si>
    <t>Beach Street Lawyers</t>
  </si>
  <si>
    <t>Bennett &amp; Co</t>
  </si>
  <si>
    <t>Boylan Lawyers</t>
  </si>
  <si>
    <t>Buse Heberer Fromm Pty Ltd</t>
  </si>
  <si>
    <t>Chalk &amp; Berehndt, Lawyers &amp; Consultants</t>
  </si>
  <si>
    <t>Clyde &amp; Co Australia</t>
  </si>
  <si>
    <t>Cockburn Legal</t>
  </si>
  <si>
    <t>Costs Law SA</t>
  </si>
  <si>
    <t>Coulson Legal</t>
  </si>
  <si>
    <t>Darwin NT Lawyers</t>
  </si>
  <si>
    <t>Davies Collison Cave</t>
  </si>
  <si>
    <t>Dawes &amp; Vary Riordan</t>
  </si>
  <si>
    <t>De Silva Hebron</t>
  </si>
  <si>
    <t>DFC Legal Pty Ltd</t>
  </si>
  <si>
    <t>EI Legal</t>
  </si>
  <si>
    <t>Ellery Brookman</t>
  </si>
  <si>
    <t>EMA Legal</t>
  </si>
  <si>
    <t>Ernst &amp; Young</t>
  </si>
  <si>
    <t>FLA Partners</t>
  </si>
  <si>
    <t>Fragomen Australia</t>
  </si>
  <si>
    <t>Franklin Athanasellis Cullen</t>
  </si>
  <si>
    <t xml:space="preserve">Giddy &amp; Crittenden </t>
  </si>
  <si>
    <t>Hamilton Locke</t>
  </si>
  <si>
    <t>Hartigan Law</t>
  </si>
  <si>
    <t>Kamy Saeedi Law</t>
  </si>
  <si>
    <t>Katemaru Legal and Investigation</t>
  </si>
  <si>
    <t>Legal Point Lawyers &amp; Attorneys</t>
  </si>
  <si>
    <t>LegalVision</t>
  </si>
  <si>
    <t>Loupe Legal Pty Ltd</t>
  </si>
  <si>
    <t xml:space="preserve">Maley Barristers &amp; Solicitors </t>
  </si>
  <si>
    <t>Matthews Legal</t>
  </si>
  <si>
    <t>McArthur Pty Ltd</t>
  </si>
  <si>
    <t>MPS Law</t>
  </si>
  <si>
    <t>Neville Hourn + Borg</t>
  </si>
  <si>
    <t>Nicole Evans Lawyers</t>
  </si>
  <si>
    <t>O'Rourke Consulting</t>
  </si>
  <si>
    <t>Osborne Legal</t>
  </si>
  <si>
    <t>Pendlebury Workplace Law</t>
  </si>
  <si>
    <t>People &amp; Culture Strategies Pty Limited</t>
  </si>
  <si>
    <t>Pizzeys Patent and Trade Mark Attorneys</t>
  </si>
  <si>
    <t>Plexus Services Pty Ltd</t>
  </si>
  <si>
    <t>Preston Law</t>
  </si>
  <si>
    <t>Prolegis Lawyers</t>
  </si>
  <si>
    <t>Provenance Legal</t>
  </si>
  <si>
    <t>Putt Legal</t>
  </si>
  <si>
    <t>Radford Lawyers</t>
  </si>
  <si>
    <t>Relatbl Recruiting</t>
  </si>
  <si>
    <t>RMB Lawyers</t>
  </si>
  <si>
    <t>Roberts Nehmer McKee</t>
  </si>
  <si>
    <t>Roger Featherston, Lawyer</t>
  </si>
  <si>
    <t>RSM Financial Services Australia Pty Ltd</t>
  </si>
  <si>
    <t>Salerno Law Pty Ltd</t>
  </si>
  <si>
    <t>Slater &amp; Gordon</t>
  </si>
  <si>
    <t>Somerville Legal</t>
  </si>
  <si>
    <t>Tucker Partners Legal Pty Ltd</t>
  </si>
  <si>
    <t>Twine Business &amp; Law Pty Ltd</t>
  </si>
  <si>
    <t>Vincent Young</t>
  </si>
  <si>
    <t xml:space="preserve">Walter Madden Jenkins </t>
  </si>
  <si>
    <t>Ward Keller</t>
  </si>
  <si>
    <t>West Garbutt</t>
  </si>
  <si>
    <t xml:space="preserve">
Disbursements are costs incurred for goods and services that are not counsel or professional fees.
Disbursements could include fees paid to expert witnesses, court fees, travel and accommodation costs and administrative fees such as binding and copying.
</t>
  </si>
  <si>
    <t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This section is divided into 3 subsections for different types of external providers: 5a) Other government providers; 5b) Overseas providers; 5c) Domestic providers.
</t>
  </si>
  <si>
    <t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t>
  </si>
  <si>
    <t>Legal Services Expenditure Report 2022-23</t>
  </si>
  <si>
    <t xml:space="preserve">
In section 1 you are required to report the total value of your entity's internal legal services expenditure for 2022-23.
</t>
  </si>
  <si>
    <t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2022-23 Legal Services Expenditure Report based on what you entered in the Entry form sheet.
Commentary is required if there has been a significant change in total expenditure from 2021-22. Otherwise, entities may provide optional commentary to OLSC about their report. Commentary will not be made public or shared with other entities.
</t>
  </si>
  <si>
    <t xml:space="preserve">
The completed template is to be returned to OLSC within 60 days after the end of the financial year (29 August 2023). Please email a copy to LSER@ag.gov.au. If your entity is not able to meet this deadline please email LSER@ag.gov.au as early as possible.
</t>
  </si>
  <si>
    <t xml:space="preserve">
In this section you are required to report the total value of your entity's internal legal services expenditure for 2022-23.
</t>
  </si>
  <si>
    <t xml:space="preserve">
In this section you are required to report the details of your entity's briefs to counsel (not including the Solicitor-General) for 2022-23. This section is divided into two subsections: 2a) Briefs to Junior Counsel; 2b) Briefs to Senior Counsel.
In each section, you are required to report the number and value of briefs, broken down by gender and how counsel was briefed.
</t>
  </si>
  <si>
    <t xml:space="preserve">
Only include details for 2022-23.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t>
  </si>
  <si>
    <t xml:space="preserve">
Entities that participated in the 'Whole of Australian Government Legal Services Panel' at any time during the financial year must report their 2022-23 off-Panel expenditure through use of the 10% off-Panel Allowance and Exemptions (only for that time they were participating in the Panel).
Entities must report their total 2022-23 expenditure under the 'Provision of Tax Technical Legal Services Panel', and the 'ACCC/AER Competition and Consumer Law Panel 2019'.
These figures will be captured in the total value of professional fees that are reported in Section 5. To prevent double counting, these figures are not added to total legal expenditure.
</t>
  </si>
  <si>
    <t>What was your entity's Panel fee for 2022-23?</t>
  </si>
  <si>
    <t>Total value of professional fee expenditure on Provision of Tax Technical Legal Services Panel for 2022-23</t>
  </si>
  <si>
    <t>Total value of professional fee expenditure on ACCC/AER Competition and Consumer Panel 2019 for 2022-23</t>
  </si>
  <si>
    <t xml:space="preserve">
The figures must be whole dollar amounts, GST exclusive. Figures including cents will not be accepted. If there was no expenditure, enter '0' for a value of $0.
</t>
  </si>
  <si>
    <t xml:space="preserve">
The first domestic provider listed in section 5c is AGS. You must report your entity's professional fees with AGS here. If your entity did not engage with AGS during 2021-22, then you must enter '0' for a value of $0. 
Each domestic provider’s professional fees must be entered separately. Commonly reported domestic providers have been included in the drop-down list. If a provider is not listed choose “PROVIDER NOT LISTED” to enter the provider name manually. You must only enter the details of domestic providers your entity had professional fees with in 2022-23.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 in 2022-23,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t>
  </si>
  <si>
    <t xml:space="preserve">
In this section you are required to review and confirm the summary totals for your entity's 2022-23 Legal Services Expenditure Report based on what you entered in the Entry form sheet.
</t>
  </si>
  <si>
    <t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t>
  </si>
  <si>
    <t xml:space="preserve">
Only a brief description of the reason or reasons for the increase/decrease is required. It is not necessary to go into the specifics of a matter. Any commentary provided will not be made public or shared with other entities.
</t>
  </si>
  <si>
    <t xml:space="preserve">
You have completed all of the required fields in your entity’s Legal Services Expenditure Report template for 2022-23.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2022-23 will appear below. The report is locked for editing, so if you notice incorrect details you will need to revise your entries in the Entry form sheet. If you encounter any issues you may contact OLSC for assistance.
</t>
  </si>
  <si>
    <t xml:space="preserve">
Your 2022-23 Legal Services Expenditure Report is now complete.
Below is your entity's Legal Services Expenditure Report for 2022-23.
Please save this template as a .XLSX file using the following naming convention: OLSC – [Name of Entity] (acronym) – 2022-23 LSER – [date sent to OLSC] 
For example: OLSC – Attorney-General’s Department (AGD) – 2022-23 LSER – 1 August 2023
Please email this completed template to LSER@ag.gov.au
</t>
  </si>
  <si>
    <t xml:space="preserve">
This template is for completing the 2022-23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t>
  </si>
  <si>
    <t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2021-22 LSER.
</t>
  </si>
  <si>
    <t xml:space="preserve">
‘senior’ means a barrister of 10+ years experience at the Bar, counsel who has 10 or more years’ experience in being briefed as a barrister to advise or appear, or a King's/Senior Counsel. For 2022-23, include counsel called to the bar in 2013.
'junior' means all other barristers/counsel.
</t>
  </si>
  <si>
    <r>
      <t xml:space="preserve">
Equitable briefing policy: ‘senior’ means a barrister of 10+ years experience at the Bar </t>
    </r>
    <r>
      <rPr>
        <b/>
        <i/>
        <sz val="10"/>
        <color rgb="FFFF0000"/>
        <rFont val="Arial"/>
        <family val="2"/>
      </rPr>
      <t>or</t>
    </r>
    <r>
      <rPr>
        <i/>
        <sz val="10"/>
        <color rgb="FFFF0000"/>
        <rFont val="Arial"/>
        <family val="2"/>
      </rPr>
      <t xml:space="preserve"> a King’s/Senior Counsel. For 2022-23 reports, include </t>
    </r>
    <r>
      <rPr>
        <b/>
        <i/>
        <u/>
        <sz val="10"/>
        <color rgb="FFFF0000"/>
        <rFont val="Arial"/>
        <family val="2"/>
      </rPr>
      <t>2013</t>
    </r>
    <r>
      <rPr>
        <i/>
        <sz val="10"/>
        <color rgb="FFFF0000"/>
        <rFont val="Arial"/>
        <family val="2"/>
      </rPr>
      <t xml:space="preserve"> barristers.</t>
    </r>
  </si>
  <si>
    <t>What was your WoAG Legal Services Panel Fee (2022-23)</t>
  </si>
  <si>
    <t>Agile Legal Consulting</t>
  </si>
  <si>
    <t>Betteridge Legal Consulting</t>
  </si>
  <si>
    <t>BROWN WRIGHT STEIN</t>
  </si>
  <si>
    <t>Costs Partners Pty Limited</t>
  </si>
  <si>
    <t>Coulter Roache Lawyers Pty Ltd</t>
  </si>
  <si>
    <t>Cozens Johansen Lawyers</t>
  </si>
  <si>
    <t>CREATIVE LAWYERS PTY LTD</t>
  </si>
  <si>
    <t>Cross Country Native Title Services</t>
  </si>
  <si>
    <t>Davies Collision Cave Pty Ltd</t>
  </si>
  <si>
    <t>Devenish Law</t>
  </si>
  <si>
    <t>FCB Workplace Law</t>
  </si>
  <si>
    <t>Finlaysons Lawyers</t>
  </si>
  <si>
    <t>Goulden Legal Services Pty Ltd</t>
  </si>
  <si>
    <t>Hogan Lovells</t>
  </si>
  <si>
    <t>Ken Cush &amp; Associates</t>
  </si>
  <si>
    <t>Kott Gunning Lawyers</t>
  </si>
  <si>
    <t>Lavan</t>
  </si>
  <si>
    <t>Ligeti Partners Lawyers</t>
  </si>
  <si>
    <t>Low Doherty &amp; Stratford</t>
  </si>
  <si>
    <t>Mason Black + Mendelsons</t>
  </si>
  <si>
    <t>Miller Harris Lawyers</t>
  </si>
  <si>
    <t>Milstein &amp; Associates</t>
  </si>
  <si>
    <t>Moores</t>
  </si>
  <si>
    <t>O'Loughlins Lawyers</t>
  </si>
  <si>
    <t>Pacific Legal Network</t>
  </si>
  <si>
    <t>PFM  Legal  Pty Ltd</t>
  </si>
  <si>
    <t>Phillip Riley Projects Pty Ltd</t>
  </si>
  <si>
    <t>Povey Stirk</t>
  </si>
  <si>
    <t>Rigby Cooke Lawyers</t>
  </si>
  <si>
    <t>Rumpoles Legal Services</t>
  </si>
  <si>
    <t>Shand Taylor Lawyers</t>
  </si>
  <si>
    <t>Sutton Lawyers</t>
  </si>
  <si>
    <t>Synergy Law</t>
  </si>
  <si>
    <t>Talent International (ACT) Pty Ltd</t>
  </si>
  <si>
    <t>Walsh Day James</t>
  </si>
  <si>
    <t>Welcome Legal</t>
  </si>
  <si>
    <t>Wilson Ryan Grose Lawyers</t>
  </si>
  <si>
    <t>51 824 753 556</t>
  </si>
  <si>
    <t>21 075 951 918</t>
  </si>
  <si>
    <t>71 979 619 393</t>
  </si>
  <si>
    <t>72 321 984 210</t>
  </si>
  <si>
    <t>Department of Agriculture, Fisheries and Forestry</t>
  </si>
  <si>
    <t>24 113 085 695</t>
  </si>
  <si>
    <t>Department of Climate Change, Energy, the Environment and Water</t>
  </si>
  <si>
    <t>63 573 932 849</t>
  </si>
  <si>
    <t>Department of Education</t>
  </si>
  <si>
    <t>Department of Employment and Workplace Relations</t>
  </si>
  <si>
    <t>96 584 957 427</t>
  </si>
  <si>
    <t>Department of Health and Aged Care</t>
  </si>
  <si>
    <t>Department of Industry, Science and Resources</t>
  </si>
  <si>
    <t>Department of Infrastructure, Transport, Regional Development, Communications and the Arts</t>
  </si>
  <si>
    <t>23 964 290 824</t>
  </si>
  <si>
    <t>Domestic, Family and Sexual Violence Commission</t>
  </si>
  <si>
    <t>99 696 833 561</t>
  </si>
  <si>
    <t>53 156 699 293</t>
  </si>
  <si>
    <t>Independent Health and Aged Care Pricing Authority</t>
  </si>
  <si>
    <t>25 192 932 833</t>
  </si>
  <si>
    <t>National Emergency Management Agency</t>
  </si>
  <si>
    <t>40 816 261 802</t>
  </si>
  <si>
    <t>56 327 515 336</t>
  </si>
  <si>
    <t>Office of the Fair Work Ombudsman</t>
  </si>
  <si>
    <t>Office of the Australian Accounting Standards Board</t>
  </si>
  <si>
    <t>Northern Australia Infrastructure Facility</t>
  </si>
  <si>
    <t>Affected by MoG</t>
  </si>
  <si>
    <t>Affected by MoG - added 0 as difficult to calculate comparison</t>
  </si>
  <si>
    <t>Previously known as Independent Hospital Pricing Authority</t>
  </si>
  <si>
    <t>Affected by the MoG - Essentially a reconstitution of the National Recovery and Resilience Agency</t>
  </si>
  <si>
    <t>New entity</t>
  </si>
  <si>
    <t>New entity - Combines Fair Work Ombudsman and Australian Building and Construction Commission</t>
  </si>
  <si>
    <t>Affected by MoG - added 0 as difficult to calculate comparison. Also includes the Registered Organisations Commission, which functions were abolished</t>
  </si>
  <si>
    <t>Will be abolished from 23-24. Functions to be absorbed by Department of Climate Change. Should still report</t>
  </si>
  <si>
    <t xml:space="preserve">
Your entity's total legal services expenditure for 2021-22 is displayed below (some MoG entities will display 0 expenditure). If there has been a significant change in expenditure in 2022-23 compared to 2021-22, you will be required to provide an explanation of the change in the commentary text box.
</t>
  </si>
  <si>
    <t>The increase in internal legal expenditure is primarily attributed to recruitment and associated travel costs for the Counsel Assisting Team, Examinations Branch.  The increase in external legal expenditure is primarily attributed to multiple contempt proceedings being brought by the ACIC against examinees who failed to comply with an Examiner's direction (and associated appeals and re-sentence hearings).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</si>
</sst>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quot;$&quot;* #,##0_-;\-&quot;$&quot;* #,##0_-;_-&quot;$&quot;* &quot;-&quot;??_-;_-@_-"/>
  </numFmts>
  <fonts count="52" x14ac:knownFonts="1">
    <font>
      <sz val="11"/>
      <color theme="1"/>
      <name val="Calibri"/>
      <family val="2"/>
      <scheme val="minor"/>
    </font>
    <font>
      <sz val="11"/>
      <name val="Arial"/>
      <family val="2"/>
    </font>
    <font>
      <sz val="11"/>
      <color theme="1"/>
      <name val="Calibri"/>
      <family val="2"/>
      <scheme val="minor"/>
    </font>
    <font>
      <b/>
      <sz val="11"/>
      <color theme="1"/>
      <name val="Arial"/>
      <family val="2"/>
    </font>
    <font>
      <sz val="11"/>
      <color theme="1"/>
      <name val="Arial"/>
      <family val="2"/>
    </font>
    <font>
      <b/>
      <sz val="12"/>
      <color theme="1"/>
      <name val="Arial"/>
      <family val="2"/>
    </font>
    <font>
      <b/>
      <i/>
      <sz val="11"/>
      <color rgb="FFFF0000"/>
      <name val="Arial"/>
      <family val="2"/>
    </font>
    <font>
      <b/>
      <sz val="12"/>
      <color rgb="FF00B0F0"/>
      <name val="Calibri"/>
      <family val="2"/>
      <scheme val="minor"/>
    </font>
    <font>
      <b/>
      <sz val="11"/>
      <color rgb="FF0070C0"/>
      <name val="Arial"/>
      <family val="2"/>
    </font>
    <font>
      <sz val="11"/>
      <color rgb="FFFF0000"/>
      <name val="Arial"/>
      <family val="2"/>
    </font>
    <font>
      <i/>
      <sz val="10"/>
      <color rgb="FFFF0000"/>
      <name val="Arial"/>
      <family val="2"/>
    </font>
    <font>
      <b/>
      <i/>
      <sz val="10"/>
      <color rgb="FFFF0000"/>
      <name val="Arial"/>
      <family val="2"/>
    </font>
    <font>
      <b/>
      <sz val="11"/>
      <color rgb="FFFF0000"/>
      <name val="Arial"/>
      <family val="2"/>
    </font>
    <font>
      <b/>
      <sz val="11"/>
      <name val="Arial"/>
      <family val="2"/>
    </font>
    <font>
      <b/>
      <sz val="11"/>
      <color theme="0" tint="-0.499984740745262"/>
      <name val="Arial"/>
      <family val="2"/>
    </font>
    <font>
      <b/>
      <u/>
      <sz val="11"/>
      <color rgb="FFFF0000"/>
      <name val="Arial"/>
      <family val="2"/>
    </font>
    <font>
      <b/>
      <sz val="12"/>
      <color rgb="FFFFFFFF"/>
      <name val="Calibri"/>
      <family val="2"/>
    </font>
    <font>
      <sz val="12"/>
      <color rgb="FF000000"/>
      <name val="Calibri"/>
      <family val="2"/>
    </font>
    <font>
      <b/>
      <i/>
      <u/>
      <sz val="10"/>
      <color rgb="FFFF0000"/>
      <name val="Arial"/>
      <family val="2"/>
    </font>
    <font>
      <b/>
      <sz val="13"/>
      <color theme="3"/>
      <name val="Calibri"/>
      <family val="2"/>
      <scheme val="minor"/>
    </font>
    <font>
      <b/>
      <sz val="11"/>
      <color theme="3"/>
      <name val="Calibri"/>
      <family val="2"/>
      <scheme val="minor"/>
    </font>
    <font>
      <sz val="11"/>
      <color rgb="FF3F3F76"/>
      <name val="Calibri"/>
      <family val="2"/>
      <scheme val="minor"/>
    </font>
    <font>
      <b/>
      <sz val="11"/>
      <color theme="0"/>
      <name val="Calibri"/>
      <family val="2"/>
      <scheme val="minor"/>
    </font>
    <font>
      <i/>
      <sz val="11"/>
      <color rgb="FF7F7F7F"/>
      <name val="Calibri"/>
      <family val="2"/>
      <scheme val="minor"/>
    </font>
    <font>
      <sz val="20"/>
      <color theme="1"/>
      <name val="Wingdings"/>
      <charset val="2"/>
    </font>
    <font>
      <b/>
      <sz val="13"/>
      <color theme="0"/>
      <name val="Calibri"/>
      <family val="2"/>
      <scheme val="minor"/>
    </font>
    <font>
      <b/>
      <sz val="11"/>
      <color rgb="FF3F3F3F"/>
      <name val="Calibri"/>
      <family val="2"/>
      <scheme val="minor"/>
    </font>
    <font>
      <b/>
      <sz val="11"/>
      <color theme="1"/>
      <name val="Calibri"/>
      <family val="2"/>
      <scheme val="minor"/>
    </font>
    <font>
      <sz val="11"/>
      <color theme="0"/>
      <name val="Calibri"/>
      <family val="2"/>
      <scheme val="minor"/>
    </font>
    <font>
      <b/>
      <sz val="11"/>
      <color rgb="FFFA7D00"/>
      <name val="Calibri"/>
      <family val="2"/>
      <scheme val="minor"/>
    </font>
    <font>
      <b/>
      <sz val="14"/>
      <color theme="1"/>
      <name val="Calibri"/>
      <family val="2"/>
      <scheme val="minor"/>
    </font>
    <font>
      <b/>
      <sz val="14"/>
      <name val="Calibri"/>
      <family val="2"/>
      <scheme val="minor"/>
    </font>
    <font>
      <sz val="13"/>
      <color theme="1"/>
      <name val="Calibri"/>
      <family val="2"/>
      <scheme val="minor"/>
    </font>
    <font>
      <b/>
      <sz val="15"/>
      <color theme="3"/>
      <name val="Calibri"/>
      <family val="2"/>
      <scheme val="minor"/>
    </font>
    <font>
      <b/>
      <sz val="13"/>
      <color rgb="FFFF0000"/>
      <name val="Calibri"/>
      <family val="2"/>
      <scheme val="minor"/>
    </font>
    <font>
      <b/>
      <sz val="18"/>
      <color theme="0"/>
      <name val="Calibri"/>
      <family val="2"/>
      <scheme val="minor"/>
    </font>
    <font>
      <sz val="18"/>
      <color theme="0"/>
      <name val="Calibri"/>
      <family val="2"/>
      <scheme val="minor"/>
    </font>
    <font>
      <sz val="13"/>
      <color rgb="FFFF0000"/>
      <name val="Calibri"/>
      <family val="2"/>
      <scheme val="minor"/>
    </font>
    <font>
      <b/>
      <sz val="12"/>
      <color theme="0"/>
      <name val="Calibri"/>
      <family val="2"/>
      <scheme val="minor"/>
    </font>
    <font>
      <b/>
      <sz val="12"/>
      <color theme="3"/>
      <name val="Calibri"/>
      <family val="2"/>
      <scheme val="minor"/>
    </font>
    <font>
      <sz val="12"/>
      <color theme="1"/>
      <name val="Calibri"/>
      <family val="2"/>
      <scheme val="minor"/>
    </font>
    <font>
      <i/>
      <sz val="12"/>
      <color theme="3"/>
      <name val="Calibri"/>
      <family val="2"/>
      <scheme val="minor"/>
    </font>
    <font>
      <i/>
      <sz val="12"/>
      <color rgb="FF7F7F7F"/>
      <name val="Calibri"/>
      <family val="2"/>
      <scheme val="minor"/>
    </font>
    <font>
      <b/>
      <sz val="12"/>
      <color theme="6" tint="-0.499984740745262"/>
      <name val="Calibri"/>
      <family val="2"/>
      <scheme val="minor"/>
    </font>
    <font>
      <sz val="12"/>
      <color rgb="FF3F3F76"/>
      <name val="Calibri"/>
      <family val="2"/>
      <scheme val="minor"/>
    </font>
    <font>
      <b/>
      <sz val="12"/>
      <color rgb="FFCC0000"/>
      <name val="Calibri"/>
      <family val="2"/>
      <scheme val="minor"/>
    </font>
    <font>
      <b/>
      <sz val="12"/>
      <color theme="5" tint="-0.24994659260841701"/>
      <name val="Calibri"/>
      <family val="2"/>
      <scheme val="minor"/>
    </font>
    <font>
      <sz val="12"/>
      <color theme="1"/>
      <name val="Webdings"/>
      <family val="1"/>
      <charset val="2"/>
    </font>
    <font>
      <b/>
      <sz val="12"/>
      <name val="Calibri"/>
      <family val="2"/>
      <scheme val="minor"/>
    </font>
    <font>
      <b/>
      <sz val="12"/>
      <color theme="1"/>
      <name val="Calibri"/>
      <family val="2"/>
      <scheme val="minor"/>
    </font>
    <font>
      <b/>
      <sz val="12"/>
      <color rgb="FF3F3F3F"/>
      <name val="Calibri"/>
      <family val="2"/>
      <scheme val="minor"/>
    </font>
    <font>
      <sz val="11"/>
      <color theme="1"/>
      <name val="Wingdings"/>
      <charset val="2"/>
    </font>
  </fonts>
  <fills count="2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428BCA"/>
        <bgColor rgb="FFFFFFFF"/>
      </patternFill>
    </fill>
    <fill>
      <patternFill patternType="solid">
        <fgColor rgb="FFFFFFFF"/>
        <bgColor rgb="FFFFFFFF"/>
      </patternFill>
    </fill>
    <fill>
      <patternFill patternType="solid">
        <fgColor rgb="FFFFCC99"/>
      </patternFill>
    </fill>
    <fill>
      <patternFill patternType="solid">
        <fgColor rgb="FFA5A5A5"/>
      </patternFill>
    </fill>
    <fill>
      <patternFill patternType="solid">
        <fgColor rgb="FFF2F2F2"/>
      </patternFill>
    </fill>
    <fill>
      <patternFill patternType="solid">
        <fgColor theme="4"/>
      </patternFill>
    </fill>
    <fill>
      <patternFill patternType="solid">
        <fgColor theme="0" tint="-0.249977111117893"/>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patternFill>
    </fill>
    <fill>
      <patternFill patternType="solid">
        <fgColor theme="3" tint="0.79998168889431442"/>
        <bgColor theme="4" tint="0.79998168889431442"/>
      </patternFill>
    </fill>
    <fill>
      <patternFill patternType="solid">
        <fgColor rgb="FFFFFFCC"/>
      </patternFill>
    </fill>
    <fill>
      <patternFill patternType="mediumGray">
        <fgColor theme="6" tint="0.79982909634693444"/>
        <bgColor theme="6" tint="0.39994506668294322"/>
      </patternFill>
    </fill>
    <fill>
      <patternFill patternType="solid">
        <fgColor theme="5" tint="0.59996337778862885"/>
        <bgColor theme="0"/>
      </patternFill>
    </fill>
    <fill>
      <patternFill patternType="gray0625">
        <fgColor theme="5" tint="0.79998168889431442"/>
        <bgColor theme="5" tint="0.79998168889431442"/>
      </patternFill>
    </fill>
  </fills>
  <borders count="7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ck">
        <color rgb="FF7F7F7F"/>
      </left>
      <right style="thick">
        <color rgb="FF7F7F7F"/>
      </right>
      <top style="thick">
        <color rgb="FF7F7F7F"/>
      </top>
      <bottom style="thick">
        <color rgb="FF7F7F7F"/>
      </bottom>
      <diagonal/>
    </border>
    <border>
      <left style="double">
        <color rgb="FF3F3F3F"/>
      </left>
      <right style="double">
        <color rgb="FF3F3F3F"/>
      </right>
      <top/>
      <bottom style="double">
        <color rgb="FF3F3F3F"/>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style="medium">
        <color theme="3" tint="-0.24994659260841701"/>
      </right>
      <top/>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ck">
        <color theme="5" tint="-0.24994659260841701"/>
      </left>
      <right style="thick">
        <color theme="5" tint="-0.24994659260841701"/>
      </right>
      <top style="thick">
        <color theme="5" tint="-0.24994659260841701"/>
      </top>
      <bottom style="double">
        <color rgb="FF3F3F3F"/>
      </bottom>
      <diagonal/>
    </border>
    <border>
      <left style="thick">
        <color theme="5" tint="-0.24994659260841701"/>
      </left>
      <right style="medium">
        <color theme="3" tint="-0.24994659260841701"/>
      </right>
      <top style="thick">
        <color theme="5" tint="-0.24994659260841701"/>
      </top>
      <bottom style="thick">
        <color theme="5" tint="-0.24994659260841701"/>
      </bottom>
      <diagonal/>
    </border>
    <border>
      <left style="double">
        <color rgb="FF3F3F3F"/>
      </left>
      <right style="medium">
        <color theme="3" tint="-0.24994659260841701"/>
      </right>
      <top style="double">
        <color rgb="FF3F3F3F"/>
      </top>
      <bottom style="double">
        <color rgb="FF3F3F3F"/>
      </bottom>
      <diagonal/>
    </border>
    <border>
      <left style="thin">
        <color rgb="FFB2B2B2"/>
      </left>
      <right style="medium">
        <color theme="3" tint="-0.24994659260841701"/>
      </right>
      <top style="thin">
        <color rgb="FFB2B2B2"/>
      </top>
      <bottom style="thin">
        <color rgb="FFB2B2B2"/>
      </bottom>
      <diagonal/>
    </border>
    <border>
      <left style="thin">
        <color rgb="FF7F7F7F"/>
      </left>
      <right style="medium">
        <color theme="3" tint="-0.24994659260841701"/>
      </right>
      <top style="thin">
        <color rgb="FF7F7F7F"/>
      </top>
      <bottom style="thin">
        <color rgb="FF7F7F7F"/>
      </bottom>
      <diagonal/>
    </border>
    <border>
      <left/>
      <right style="medium">
        <color theme="3" tint="-0.249977111117893"/>
      </right>
      <top/>
      <bottom/>
      <diagonal/>
    </border>
    <border>
      <left style="double">
        <color rgb="FF3F3F3F"/>
      </left>
      <right style="medium">
        <color theme="3" tint="-0.24994659260841701"/>
      </right>
      <top/>
      <bottom style="double">
        <color rgb="FF3F3F3F"/>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double">
        <color rgb="FF3F3F3F"/>
      </left>
      <right style="medium">
        <color theme="3" tint="-0.249977111117893"/>
      </right>
      <top style="double">
        <color rgb="FF3F3F3F"/>
      </top>
      <bottom style="double">
        <color rgb="FF3F3F3F"/>
      </bottom>
      <diagonal/>
    </border>
    <border>
      <left/>
      <right style="medium">
        <color theme="3" tint="-0.249977111117893"/>
      </right>
      <top style="thin">
        <color theme="4" tint="0.39997558519241921"/>
      </top>
      <bottom/>
      <diagonal/>
    </border>
    <border>
      <left/>
      <right style="medium">
        <color theme="3" tint="-0.24994659260841701"/>
      </right>
      <top/>
      <bottom style="thick">
        <color theme="4"/>
      </bottom>
      <diagonal/>
    </border>
    <border>
      <left/>
      <right style="medium">
        <color theme="3" tint="-0.249977111117893"/>
      </right>
      <top style="thin">
        <color rgb="FF7F7F7F"/>
      </top>
      <bottom style="thin">
        <color rgb="FF7F7F7F"/>
      </bottom>
      <diagonal/>
    </border>
    <border>
      <left/>
      <right style="medium">
        <color theme="3" tint="-0.249977111117893"/>
      </right>
      <top/>
      <bottom style="thick">
        <color theme="4"/>
      </bottom>
      <diagonal/>
    </border>
    <border>
      <left style="thick">
        <color theme="5" tint="-0.24994659260841701"/>
      </left>
      <right style="medium">
        <color theme="3" tint="-0.249977111117893"/>
      </right>
      <top style="thick">
        <color theme="5" tint="-0.24994659260841701"/>
      </top>
      <bottom style="thick">
        <color theme="5" tint="-0.24994659260841701"/>
      </bottom>
      <diagonal/>
    </border>
    <border>
      <left/>
      <right style="medium">
        <color theme="3" tint="-0.249977111117893"/>
      </right>
      <top style="thin">
        <color indexed="64"/>
      </top>
      <bottom style="thin">
        <color indexed="64"/>
      </bottom>
      <diagonal/>
    </border>
    <border>
      <left style="thin">
        <color rgb="FF3F3F3F"/>
      </left>
      <right style="medium">
        <color theme="3" tint="-0.249977111117893"/>
      </right>
      <top style="thin">
        <color rgb="FF3F3F3F"/>
      </top>
      <bottom style="thin">
        <color rgb="FF3F3F3F"/>
      </bottom>
      <diagonal/>
    </border>
    <border>
      <left/>
      <right style="medium">
        <color theme="3" tint="-0.249977111117893"/>
      </right>
      <top/>
      <bottom style="medium">
        <color theme="4" tint="0.39997558519241921"/>
      </bottom>
      <diagonal/>
    </border>
    <border>
      <left/>
      <right style="medium">
        <color theme="3" tint="-0.249977111117893"/>
      </right>
      <top style="thin">
        <color rgb="FF3F3F3F"/>
      </top>
      <bottom style="thin">
        <color rgb="FF3F3F3F"/>
      </bottom>
      <diagonal/>
    </border>
    <border>
      <left/>
      <right/>
      <top/>
      <bottom style="medium">
        <color theme="3" tint="-0.249977111117893"/>
      </bottom>
      <diagonal/>
    </border>
    <border>
      <left/>
      <right style="medium">
        <color theme="3" tint="-0.249977111117893"/>
      </right>
      <top/>
      <bottom style="medium">
        <color theme="3" tint="-0.249977111117893"/>
      </bottom>
      <diagonal/>
    </border>
    <border>
      <left/>
      <right style="medium">
        <color theme="3" tint="-0.249977111117893"/>
      </right>
      <top/>
      <bottom style="thin">
        <color indexed="64"/>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right style="thin">
        <color indexed="64"/>
      </right>
      <top style="thick">
        <color theme="4" tint="0.499984740745262"/>
      </top>
      <bottom/>
      <diagonal/>
    </border>
    <border>
      <left/>
      <right style="double">
        <color rgb="FF3F3F3F"/>
      </right>
      <top style="double">
        <color rgb="FF3F3F3F"/>
      </top>
      <bottom style="double">
        <color rgb="FF3F3F3F"/>
      </bottom>
      <diagonal/>
    </border>
    <border>
      <left/>
      <right/>
      <top style="thin">
        <color theme="4" tint="0.39997558519241921"/>
      </top>
      <bottom style="thin">
        <color theme="4" tint="0.39997558519241921"/>
      </bottom>
      <diagonal/>
    </border>
    <border>
      <left/>
      <right/>
      <top style="medium">
        <color theme="3" tint="-0.249977111117893"/>
      </top>
      <bottom/>
      <diagonal/>
    </border>
    <border>
      <left/>
      <right style="medium">
        <color theme="3" tint="-0.249977111117893"/>
      </right>
      <top style="medium">
        <color theme="3" tint="-0.249977111117893"/>
      </top>
      <bottom/>
      <diagonal/>
    </border>
  </borders>
  <cellStyleXfs count="12">
    <xf numFmtId="0" fontId="0" fillId="0" borderId="0"/>
    <xf numFmtId="44" fontId="2" fillId="0" borderId="0" applyFont="0" applyFill="0" applyBorder="0" applyAlignment="0" applyProtection="0"/>
    <xf numFmtId="0" fontId="19" fillId="0" borderId="28" applyNumberFormat="0" applyFill="0" applyAlignment="0" applyProtection="0"/>
    <xf numFmtId="0" fontId="20" fillId="0" borderId="29" applyNumberFormat="0" applyFill="0" applyAlignment="0" applyProtection="0"/>
    <xf numFmtId="0" fontId="21" fillId="10" borderId="30" applyNumberFormat="0" applyAlignment="0" applyProtection="0"/>
    <xf numFmtId="0" fontId="22" fillId="11" borderId="31" applyNumberFormat="0" applyAlignment="0" applyProtection="0"/>
    <xf numFmtId="0" fontId="23" fillId="0" borderId="0" applyNumberFormat="0" applyFill="0" applyBorder="0" applyAlignment="0" applyProtection="0"/>
    <xf numFmtId="0" fontId="26" fillId="12" borderId="32" applyNumberFormat="0" applyAlignment="0" applyProtection="0"/>
    <xf numFmtId="0" fontId="28" fillId="13" borderId="0" applyNumberFormat="0" applyBorder="0" applyAlignment="0" applyProtection="0"/>
    <xf numFmtId="0" fontId="29" fillId="12" borderId="30" applyNumberFormat="0" applyAlignment="0" applyProtection="0"/>
    <xf numFmtId="0" fontId="33" fillId="0" borderId="38" applyNumberFormat="0" applyFill="0" applyAlignment="0" applyProtection="0"/>
    <xf numFmtId="0" fontId="2" fillId="19" borderId="39" applyNumberFormat="0" applyFont="0" applyAlignment="0" applyProtection="0"/>
  </cellStyleXfs>
  <cellXfs count="279">
    <xf numFmtId="0" fontId="0" fillId="0" borderId="0" xfId="0"/>
    <xf numFmtId="0" fontId="4" fillId="0" borderId="0" xfId="0" applyFont="1" applyBorder="1"/>
    <xf numFmtId="0" fontId="1" fillId="0" borderId="0" xfId="0" applyFont="1" applyBorder="1"/>
    <xf numFmtId="0" fontId="4" fillId="0" borderId="0" xfId="0" applyFont="1" applyFill="1" applyBorder="1"/>
    <xf numFmtId="0" fontId="7" fillId="0" borderId="0" xfId="0" applyFont="1"/>
    <xf numFmtId="0" fontId="4" fillId="5" borderId="0" xfId="0" applyFont="1" applyFill="1" applyBorder="1"/>
    <xf numFmtId="0" fontId="4" fillId="5" borderId="5" xfId="0" applyFont="1" applyFill="1" applyBorder="1"/>
    <xf numFmtId="0" fontId="4" fillId="5" borderId="7" xfId="0" applyFont="1" applyFill="1" applyBorder="1"/>
    <xf numFmtId="0" fontId="4" fillId="5" borderId="3" xfId="0" applyFont="1" applyFill="1" applyBorder="1"/>
    <xf numFmtId="0" fontId="4" fillId="5" borderId="6" xfId="0" applyFont="1" applyFill="1" applyBorder="1"/>
    <xf numFmtId="0" fontId="4" fillId="5" borderId="8" xfId="0" applyFont="1" applyFill="1" applyBorder="1"/>
    <xf numFmtId="0" fontId="4" fillId="5" borderId="9" xfId="0" applyFont="1" applyFill="1" applyBorder="1"/>
    <xf numFmtId="0" fontId="0" fillId="5" borderId="6" xfId="0" applyFill="1" applyBorder="1"/>
    <xf numFmtId="0" fontId="0" fillId="5" borderId="8" xfId="0" applyFill="1" applyBorder="1"/>
    <xf numFmtId="0" fontId="0" fillId="5" borderId="9" xfId="0" applyFill="1" applyBorder="1"/>
    <xf numFmtId="0" fontId="4" fillId="5" borderId="11" xfId="0" applyFont="1" applyFill="1" applyBorder="1"/>
    <xf numFmtId="0" fontId="0" fillId="0" borderId="0" xfId="0" applyFill="1"/>
    <xf numFmtId="0" fontId="3" fillId="0" borderId="5" xfId="0" applyFont="1" applyBorder="1" applyAlignment="1">
      <alignment vertical="center"/>
    </xf>
    <xf numFmtId="164" fontId="4" fillId="2" borderId="12" xfId="1" applyNumberFormat="1" applyFont="1" applyFill="1" applyBorder="1" applyAlignment="1" applyProtection="1">
      <alignment horizontal="right" vertical="center"/>
    </xf>
    <xf numFmtId="0" fontId="3" fillId="0" borderId="7" xfId="0" applyFont="1" applyBorder="1" applyAlignment="1">
      <alignment vertical="center"/>
    </xf>
    <xf numFmtId="164" fontId="4" fillId="3" borderId="13" xfId="1" applyNumberFormat="1" applyFont="1" applyFill="1" applyBorder="1" applyAlignment="1" applyProtection="1">
      <alignment horizontal="right" vertical="center"/>
      <protection locked="0"/>
    </xf>
    <xf numFmtId="0" fontId="3" fillId="0" borderId="3" xfId="0" applyFont="1" applyBorder="1" applyAlignment="1">
      <alignment vertical="center"/>
    </xf>
    <xf numFmtId="164" fontId="4" fillId="2" borderId="14" xfId="1" applyNumberFormat="1" applyFont="1" applyFill="1" applyBorder="1" applyAlignment="1" applyProtection="1">
      <alignment horizontal="right" vertical="center"/>
    </xf>
    <xf numFmtId="44" fontId="4" fillId="5" borderId="11" xfId="1" applyFont="1" applyFill="1" applyBorder="1" applyAlignment="1" applyProtection="1">
      <alignment horizontal="right" vertical="center"/>
    </xf>
    <xf numFmtId="0" fontId="3" fillId="5" borderId="4" xfId="0" applyFont="1" applyFill="1" applyBorder="1" applyAlignment="1">
      <alignment vertical="center"/>
    </xf>
    <xf numFmtId="0" fontId="3" fillId="0" borderId="0" xfId="0" applyFont="1" applyBorder="1" applyAlignment="1">
      <alignment vertical="center"/>
    </xf>
    <xf numFmtId="44" fontId="4" fillId="0" borderId="0" xfId="1" applyFont="1" applyFill="1" applyBorder="1" applyAlignment="1" applyProtection="1">
      <alignment horizontal="right" vertical="center"/>
    </xf>
    <xf numFmtId="0" fontId="4" fillId="0" borderId="16" xfId="0" applyFont="1" applyFill="1" applyBorder="1" applyAlignment="1">
      <alignment vertical="top"/>
    </xf>
    <xf numFmtId="0" fontId="4" fillId="0" borderId="16" xfId="0" applyFont="1" applyFill="1" applyBorder="1" applyAlignment="1"/>
    <xf numFmtId="164" fontId="4" fillId="4" borderId="13" xfId="1" applyNumberFormat="1" applyFont="1" applyFill="1" applyBorder="1" applyAlignment="1" applyProtection="1">
      <protection locked="0"/>
    </xf>
    <xf numFmtId="164" fontId="4" fillId="3" borderId="13" xfId="1" applyNumberFormat="1" applyFont="1" applyFill="1" applyBorder="1" applyAlignment="1" applyProtection="1">
      <protection locked="0"/>
    </xf>
    <xf numFmtId="0" fontId="4" fillId="0" borderId="3" xfId="0" applyFont="1" applyFill="1" applyBorder="1" applyAlignment="1"/>
    <xf numFmtId="0" fontId="4" fillId="0" borderId="17" xfId="0" applyFont="1" applyFill="1" applyBorder="1" applyAlignment="1">
      <alignment vertical="top"/>
    </xf>
    <xf numFmtId="0" fontId="4" fillId="0" borderId="17" xfId="0" applyFont="1" applyFill="1" applyBorder="1" applyAlignment="1"/>
    <xf numFmtId="44" fontId="4" fillId="0" borderId="0" xfId="1" applyFont="1" applyBorder="1" applyAlignment="1" applyProtection="1">
      <alignment horizontal="right" vertical="center"/>
    </xf>
    <xf numFmtId="0" fontId="4" fillId="0" borderId="0" xfId="0" applyFont="1" applyFill="1" applyBorder="1" applyAlignment="1">
      <alignment vertical="top"/>
    </xf>
    <xf numFmtId="0" fontId="3" fillId="0" borderId="18" xfId="0" applyFont="1" applyFill="1" applyBorder="1" applyAlignment="1">
      <alignment vertical="top"/>
    </xf>
    <xf numFmtId="0" fontId="3" fillId="5" borderId="11" xfId="0" applyFont="1" applyFill="1" applyBorder="1" applyAlignment="1">
      <alignment vertical="top"/>
    </xf>
    <xf numFmtId="44" fontId="4" fillId="5" borderId="11" xfId="1" applyNumberFormat="1" applyFont="1" applyFill="1" applyBorder="1" applyAlignment="1" applyProtection="1">
      <alignment horizontal="right" vertical="center"/>
    </xf>
    <xf numFmtId="0" fontId="3" fillId="6" borderId="18" xfId="0" applyFont="1" applyFill="1" applyBorder="1" applyAlignment="1">
      <alignment vertical="top"/>
    </xf>
    <xf numFmtId="44" fontId="4" fillId="0" borderId="19" xfId="1" applyFont="1" applyBorder="1" applyAlignment="1" applyProtection="1">
      <alignment horizontal="right" vertical="center"/>
    </xf>
    <xf numFmtId="0" fontId="3" fillId="0" borderId="20" xfId="0" applyFont="1" applyFill="1" applyBorder="1"/>
    <xf numFmtId="44" fontId="4" fillId="0" borderId="14" xfId="1" applyFont="1" applyBorder="1" applyAlignment="1" applyProtection="1">
      <alignment horizontal="right" vertical="center"/>
    </xf>
    <xf numFmtId="0" fontId="3" fillId="0" borderId="1" xfId="0" applyFont="1" applyFill="1" applyBorder="1" applyAlignment="1">
      <alignment vertical="top"/>
    </xf>
    <xf numFmtId="44" fontId="4" fillId="0" borderId="21" xfId="1" applyFont="1" applyBorder="1" applyAlignment="1" applyProtection="1">
      <alignment horizontal="right" vertical="center"/>
    </xf>
    <xf numFmtId="0" fontId="3" fillId="6" borderId="22" xfId="0" applyFont="1" applyFill="1" applyBorder="1"/>
    <xf numFmtId="0" fontId="3" fillId="0" borderId="0" xfId="0" applyFont="1" applyFill="1" applyBorder="1" applyAlignment="1">
      <alignment vertical="top"/>
    </xf>
    <xf numFmtId="44" fontId="4" fillId="0" borderId="0" xfId="1" applyNumberFormat="1" applyFont="1" applyFill="1" applyBorder="1" applyAlignment="1" applyProtection="1">
      <alignment horizontal="right" vertical="center"/>
    </xf>
    <xf numFmtId="0" fontId="4" fillId="5" borderId="11" xfId="0" applyFont="1" applyFill="1" applyBorder="1" applyAlignment="1">
      <alignment vertical="top"/>
    </xf>
    <xf numFmtId="0" fontId="4" fillId="0" borderId="23" xfId="0" applyFont="1" applyFill="1" applyBorder="1" applyAlignment="1">
      <alignment vertical="top"/>
    </xf>
    <xf numFmtId="0" fontId="3" fillId="5" borderId="11" xfId="0" applyFont="1" applyFill="1" applyBorder="1" applyAlignment="1" applyProtection="1">
      <alignment vertical="center"/>
    </xf>
    <xf numFmtId="44" fontId="1" fillId="5" borderId="11" xfId="1" applyFont="1" applyFill="1" applyBorder="1" applyAlignment="1" applyProtection="1">
      <alignment horizontal="right" vertical="center"/>
    </xf>
    <xf numFmtId="0" fontId="0" fillId="5" borderId="11" xfId="0" applyFill="1" applyBorder="1"/>
    <xf numFmtId="0" fontId="4" fillId="0" borderId="5" xfId="0" applyFont="1" applyBorder="1" applyAlignment="1" applyProtection="1">
      <alignment vertical="center"/>
    </xf>
    <xf numFmtId="0" fontId="4" fillId="0" borderId="7" xfId="0" applyFont="1" applyBorder="1" applyAlignment="1" applyProtection="1">
      <alignment vertical="center"/>
    </xf>
    <xf numFmtId="0" fontId="4" fillId="0" borderId="7" xfId="0" applyFont="1" applyBorder="1" applyAlignment="1" applyProtection="1">
      <alignment horizontal="left" vertical="top"/>
    </xf>
    <xf numFmtId="0" fontId="4" fillId="0" borderId="3" xfId="0" applyFont="1" applyBorder="1" applyAlignment="1" applyProtection="1">
      <alignment vertical="top"/>
    </xf>
    <xf numFmtId="0" fontId="4" fillId="0" borderId="7" xfId="0" applyFont="1" applyFill="1" applyBorder="1" applyAlignment="1" applyProtection="1">
      <alignment horizontal="left" vertical="top"/>
    </xf>
    <xf numFmtId="164" fontId="4" fillId="3" borderId="21" xfId="1" applyNumberFormat="1" applyFont="1" applyFill="1" applyBorder="1" applyAlignment="1" applyProtection="1">
      <protection locked="0"/>
    </xf>
    <xf numFmtId="1" fontId="4" fillId="4" borderId="13" xfId="1" applyNumberFormat="1" applyFont="1" applyFill="1" applyBorder="1" applyAlignment="1" applyProtection="1">
      <protection locked="0"/>
    </xf>
    <xf numFmtId="1" fontId="4" fillId="3" borderId="13" xfId="1" applyNumberFormat="1" applyFont="1" applyFill="1" applyBorder="1" applyAlignment="1" applyProtection="1">
      <protection locked="0"/>
    </xf>
    <xf numFmtId="0" fontId="4" fillId="5" borderId="10" xfId="0" applyFont="1" applyFill="1" applyBorder="1" applyAlignment="1"/>
    <xf numFmtId="44" fontId="4" fillId="5" borderId="10" xfId="1" applyFont="1" applyFill="1" applyBorder="1" applyAlignment="1" applyProtection="1"/>
    <xf numFmtId="0" fontId="5" fillId="5" borderId="11" xfId="0" applyFont="1" applyFill="1" applyBorder="1" applyAlignment="1" applyProtection="1">
      <alignment horizontal="center" vertical="top"/>
      <protection locked="0"/>
    </xf>
    <xf numFmtId="0" fontId="4" fillId="0" borderId="7" xfId="0" applyFont="1" applyFill="1" applyBorder="1"/>
    <xf numFmtId="0" fontId="0" fillId="0" borderId="0" xfId="0" applyFill="1" applyAlignment="1">
      <alignment wrapText="1"/>
    </xf>
    <xf numFmtId="0" fontId="14" fillId="0" borderId="0" xfId="0" applyFont="1" applyFill="1" applyBorder="1" applyAlignment="1">
      <alignment horizontal="center" vertical="top" wrapText="1"/>
    </xf>
    <xf numFmtId="0" fontId="8" fillId="5" borderId="0" xfId="0" applyFont="1" applyFill="1" applyBorder="1" applyAlignment="1" applyProtection="1">
      <alignment horizontal="center" vertical="center"/>
    </xf>
    <xf numFmtId="49" fontId="4" fillId="0" borderId="7" xfId="0" applyNumberFormat="1" applyFont="1" applyBorder="1" applyAlignment="1" applyProtection="1">
      <alignment vertical="top" wrapText="1"/>
    </xf>
    <xf numFmtId="0" fontId="8" fillId="5" borderId="7" xfId="0" applyFont="1" applyFill="1" applyBorder="1" applyAlignment="1" applyProtection="1">
      <alignment horizontal="center" vertical="center"/>
    </xf>
    <xf numFmtId="0" fontId="3" fillId="0" borderId="1" xfId="0" applyFont="1" applyFill="1" applyBorder="1"/>
    <xf numFmtId="0" fontId="8" fillId="0" borderId="21" xfId="0" applyFont="1" applyFill="1" applyBorder="1" applyAlignment="1" applyProtection="1">
      <alignment horizontal="center" vertical="center"/>
    </xf>
    <xf numFmtId="0" fontId="4" fillId="0" borderId="21" xfId="0" applyFont="1" applyFill="1" applyBorder="1" applyAlignment="1">
      <alignment vertical="top"/>
    </xf>
    <xf numFmtId="0" fontId="4" fillId="0" borderId="0" xfId="0" applyFont="1" applyFill="1" applyBorder="1" applyAlignment="1" applyProtection="1">
      <alignment vertical="top"/>
    </xf>
    <xf numFmtId="0" fontId="4" fillId="0" borderId="8" xfId="0" applyFont="1" applyFill="1" applyBorder="1"/>
    <xf numFmtId="1" fontId="4" fillId="0" borderId="0" xfId="1" applyNumberFormat="1" applyFont="1" applyFill="1" applyBorder="1" applyAlignment="1" applyProtection="1">
      <alignment horizontal="right" vertical="center"/>
    </xf>
    <xf numFmtId="164" fontId="4" fillId="2" borderId="26" xfId="1" applyNumberFormat="1" applyFont="1" applyFill="1" applyBorder="1" applyAlignment="1" applyProtection="1">
      <alignment horizontal="right" vertical="center"/>
    </xf>
    <xf numFmtId="164" fontId="4" fillId="2" borderId="27" xfId="1" applyNumberFormat="1" applyFont="1" applyFill="1" applyBorder="1" applyAlignment="1" applyProtection="1">
      <alignment horizontal="right" vertical="center"/>
    </xf>
    <xf numFmtId="1" fontId="4" fillId="2" borderId="25" xfId="1" applyNumberFormat="1" applyFont="1" applyFill="1" applyBorder="1" applyAlignment="1" applyProtection="1">
      <alignment horizontal="right" vertical="center"/>
    </xf>
    <xf numFmtId="0" fontId="4" fillId="0" borderId="7" xfId="0" applyFont="1" applyFill="1" applyBorder="1" applyAlignment="1">
      <alignment vertical="top" wrapText="1"/>
    </xf>
    <xf numFmtId="0" fontId="4" fillId="0" borderId="0" xfId="0" applyFont="1" applyFill="1" applyBorder="1" applyAlignment="1">
      <alignment wrapText="1"/>
    </xf>
    <xf numFmtId="0" fontId="4" fillId="0" borderId="3" xfId="0" applyFont="1" applyFill="1" applyBorder="1"/>
    <xf numFmtId="0" fontId="4" fillId="0" borderId="3" xfId="0" applyFont="1" applyFill="1" applyBorder="1" applyAlignment="1">
      <alignment vertical="top"/>
    </xf>
    <xf numFmtId="164" fontId="4" fillId="3" borderId="14" xfId="1" applyNumberFormat="1" applyFont="1" applyFill="1" applyBorder="1" applyAlignment="1" applyProtection="1">
      <alignment horizontal="right" vertical="center"/>
      <protection locked="0"/>
    </xf>
    <xf numFmtId="0" fontId="8" fillId="5" borderId="6" xfId="0" applyFont="1" applyFill="1" applyBorder="1" applyAlignment="1">
      <alignment horizontal="center" vertical="center"/>
    </xf>
    <xf numFmtId="0" fontId="10" fillId="5" borderId="0" xfId="0" applyFont="1" applyFill="1" applyBorder="1" applyAlignment="1">
      <alignment horizontal="center" vertical="top" wrapText="1"/>
    </xf>
    <xf numFmtId="0" fontId="8" fillId="5" borderId="0" xfId="0" applyFont="1" applyFill="1" applyBorder="1" applyAlignment="1" applyProtection="1">
      <alignment horizontal="center" vertical="center"/>
    </xf>
    <xf numFmtId="0" fontId="3" fillId="0" borderId="1" xfId="0" applyFont="1" applyFill="1" applyBorder="1" applyAlignment="1" applyProtection="1">
      <alignment vertical="center"/>
    </xf>
    <xf numFmtId="164" fontId="1" fillId="2" borderId="21" xfId="1" applyNumberFormat="1" applyFont="1" applyFill="1" applyBorder="1" applyAlignment="1" applyProtection="1">
      <alignment horizontal="right" vertical="center"/>
    </xf>
    <xf numFmtId="0" fontId="16" fillId="8" borderId="0" xfId="0" applyFont="1" applyFill="1"/>
    <xf numFmtId="0" fontId="17" fillId="9" borderId="0" xfId="0" applyFont="1" applyFill="1"/>
    <xf numFmtId="49" fontId="4" fillId="0" borderId="7" xfId="0" applyNumberFormat="1" applyFont="1" applyFill="1" applyBorder="1" applyAlignment="1" applyProtection="1"/>
    <xf numFmtId="0" fontId="0" fillId="0" borderId="7" xfId="0" applyBorder="1"/>
    <xf numFmtId="0" fontId="0" fillId="0" borderId="3" xfId="0" applyBorder="1"/>
    <xf numFmtId="49" fontId="3" fillId="0" borderId="1" xfId="0" applyNumberFormat="1" applyFont="1" applyBorder="1" applyAlignment="1" applyProtection="1">
      <alignment vertical="top" wrapText="1"/>
    </xf>
    <xf numFmtId="164" fontId="4" fillId="0" borderId="21" xfId="1" applyNumberFormat="1" applyFont="1" applyBorder="1" applyAlignment="1" applyProtection="1">
      <alignment horizontal="right" vertical="center"/>
    </xf>
    <xf numFmtId="49" fontId="3" fillId="0" borderId="1" xfId="0" applyNumberFormat="1" applyFont="1" applyFill="1" applyBorder="1" applyAlignment="1" applyProtection="1">
      <alignment vertical="top" wrapText="1"/>
    </xf>
    <xf numFmtId="0" fontId="0" fillId="0" borderId="21" xfId="0" applyBorder="1"/>
    <xf numFmtId="0" fontId="4" fillId="0" borderId="7" xfId="0" applyFont="1" applyBorder="1" applyAlignment="1" applyProtection="1">
      <alignment vertical="top"/>
    </xf>
    <xf numFmtId="0" fontId="0" fillId="5" borderId="5" xfId="0" applyFill="1" applyBorder="1"/>
    <xf numFmtId="0" fontId="0" fillId="5" borderId="7" xfId="0" applyFill="1" applyBorder="1"/>
    <xf numFmtId="0" fontId="0" fillId="5" borderId="3" xfId="0" applyFill="1" applyBorder="1"/>
    <xf numFmtId="0" fontId="0" fillId="0" borderId="0" xfId="0" applyAlignment="1">
      <alignment vertical="center"/>
    </xf>
    <xf numFmtId="0" fontId="0" fillId="0" borderId="0" xfId="0" applyAlignment="1">
      <alignment vertical="center" wrapText="1"/>
    </xf>
    <xf numFmtId="0" fontId="27" fillId="0" borderId="0" xfId="0" applyFont="1"/>
    <xf numFmtId="44" fontId="4" fillId="0" borderId="13" xfId="0" applyNumberFormat="1" applyFont="1" applyFill="1" applyBorder="1" applyAlignment="1">
      <alignment vertical="top"/>
    </xf>
    <xf numFmtId="0" fontId="27" fillId="0" borderId="0" xfId="0" applyFont="1" applyAlignment="1">
      <alignment vertical="center" wrapText="1"/>
    </xf>
    <xf numFmtId="0" fontId="33" fillId="0" borderId="38" xfId="10" applyAlignment="1">
      <alignment vertical="center" wrapText="1"/>
    </xf>
    <xf numFmtId="0" fontId="33" fillId="0" borderId="38" xfId="10" applyAlignment="1">
      <alignment vertical="center"/>
    </xf>
    <xf numFmtId="0" fontId="33" fillId="0" borderId="38" xfId="10"/>
    <xf numFmtId="0" fontId="20" fillId="0" borderId="29" xfId="3" applyAlignment="1">
      <alignment vertical="center" wrapText="1"/>
    </xf>
    <xf numFmtId="0" fontId="20" fillId="0" borderId="29" xfId="3" applyAlignment="1">
      <alignment vertical="center"/>
    </xf>
    <xf numFmtId="0" fontId="44" fillId="19" borderId="48" xfId="11" applyNumberFormat="1" applyFont="1" applyBorder="1" applyAlignment="1" applyProtection="1">
      <alignment horizontal="center"/>
    </xf>
    <xf numFmtId="0" fontId="46" fillId="22" borderId="46" xfId="0" applyFont="1" applyFill="1" applyBorder="1" applyAlignment="1" applyProtection="1">
      <alignment horizontal="center"/>
      <protection locked="0"/>
    </xf>
    <xf numFmtId="44" fontId="44" fillId="19" borderId="48" xfId="11" applyNumberFormat="1" applyFont="1" applyBorder="1" applyProtection="1">
      <protection locked="0"/>
    </xf>
    <xf numFmtId="1" fontId="44" fillId="19" borderId="48" xfId="11" applyNumberFormat="1" applyFont="1" applyBorder="1" applyProtection="1">
      <protection locked="0"/>
    </xf>
    <xf numFmtId="164" fontId="44" fillId="19" borderId="48" xfId="11" applyNumberFormat="1" applyFont="1" applyBorder="1" applyProtection="1"/>
    <xf numFmtId="0" fontId="44" fillId="19" borderId="48" xfId="11" applyNumberFormat="1" applyFont="1" applyBorder="1" applyAlignment="1" applyProtection="1">
      <alignment horizontal="center" vertical="center" wrapText="1"/>
      <protection locked="0"/>
    </xf>
    <xf numFmtId="0" fontId="46" fillId="22" borderId="59" xfId="0" applyFont="1" applyFill="1" applyBorder="1" applyAlignment="1" applyProtection="1">
      <alignment horizontal="center"/>
      <protection locked="0"/>
    </xf>
    <xf numFmtId="0" fontId="0" fillId="19" borderId="44" xfId="11" applyFont="1" applyBorder="1" applyAlignment="1" applyProtection="1">
      <alignment horizontal="center" vertical="center" wrapText="1"/>
      <protection locked="0"/>
    </xf>
    <xf numFmtId="0" fontId="36" fillId="13" borderId="72" xfId="8" applyFont="1" applyBorder="1" applyProtection="1"/>
    <xf numFmtId="0" fontId="35" fillId="13" borderId="72" xfId="8" applyNumberFormat="1" applyFont="1" applyBorder="1" applyAlignment="1" applyProtection="1">
      <alignment horizontal="center"/>
    </xf>
    <xf numFmtId="0" fontId="36" fillId="13" borderId="73" xfId="8" applyNumberFormat="1" applyFont="1" applyBorder="1" applyProtection="1"/>
    <xf numFmtId="0" fontId="24" fillId="0" borderId="0" xfId="0" applyFont="1" applyProtection="1"/>
    <xf numFmtId="0" fontId="0" fillId="0" borderId="0" xfId="0" applyProtection="1"/>
    <xf numFmtId="0" fontId="22" fillId="17" borderId="0" xfId="0" applyFont="1" applyFill="1" applyBorder="1" applyAlignment="1" applyProtection="1">
      <alignment horizontal="center"/>
    </xf>
    <xf numFmtId="0" fontId="22" fillId="17" borderId="50" xfId="0" applyNumberFormat="1" applyFont="1" applyFill="1" applyBorder="1" applyProtection="1"/>
    <xf numFmtId="0" fontId="41" fillId="6" borderId="44" xfId="6" applyFont="1" applyFill="1" applyBorder="1" applyAlignment="1" applyProtection="1">
      <alignment horizontal="left" wrapText="1" indent="1"/>
    </xf>
    <xf numFmtId="0" fontId="0" fillId="16" borderId="50" xfId="0" applyFont="1" applyFill="1" applyBorder="1" applyProtection="1"/>
    <xf numFmtId="0" fontId="23" fillId="16" borderId="0" xfId="6" applyFont="1" applyFill="1" applyBorder="1" applyAlignment="1" applyProtection="1">
      <alignment horizontal="center" wrapText="1"/>
    </xf>
    <xf numFmtId="0" fontId="30" fillId="6" borderId="44" xfId="0" applyFont="1" applyFill="1" applyBorder="1" applyAlignment="1" applyProtection="1">
      <alignment horizontal="center"/>
    </xf>
    <xf numFmtId="0" fontId="30" fillId="16" borderId="0" xfId="0" applyFont="1" applyFill="1" applyBorder="1" applyAlignment="1" applyProtection="1">
      <alignment horizontal="center"/>
    </xf>
    <xf numFmtId="0" fontId="33" fillId="18" borderId="38" xfId="10" applyFill="1" applyBorder="1" applyAlignment="1" applyProtection="1">
      <alignment horizontal="center"/>
    </xf>
    <xf numFmtId="0" fontId="33" fillId="18" borderId="58" xfId="10" applyFill="1" applyBorder="1" applyAlignment="1" applyProtection="1">
      <alignment horizontal="center"/>
    </xf>
    <xf numFmtId="0" fontId="40" fillId="16" borderId="0" xfId="0" applyFont="1" applyFill="1" applyBorder="1" applyAlignment="1" applyProtection="1">
      <alignment horizontal="left" vertical="center" wrapText="1"/>
    </xf>
    <xf numFmtId="0" fontId="41" fillId="6" borderId="34" xfId="6" applyFont="1" applyFill="1" applyBorder="1" applyAlignment="1" applyProtection="1">
      <alignment horizontal="left" vertical="center" wrapText="1" indent="1"/>
    </xf>
    <xf numFmtId="0" fontId="40" fillId="16" borderId="50" xfId="0" applyFont="1" applyFill="1" applyBorder="1" applyProtection="1"/>
    <xf numFmtId="0" fontId="23" fillId="16" borderId="0" xfId="6" applyNumberFormat="1" applyFill="1" applyBorder="1" applyAlignment="1" applyProtection="1">
      <alignment horizontal="center" vertical="center" wrapText="1"/>
    </xf>
    <xf numFmtId="0" fontId="0" fillId="16" borderId="50" xfId="0" applyFill="1" applyBorder="1" applyProtection="1"/>
    <xf numFmtId="0" fontId="0" fillId="16" borderId="0" xfId="0" applyFill="1" applyBorder="1" applyProtection="1"/>
    <xf numFmtId="164" fontId="19" fillId="12" borderId="57" xfId="9" applyNumberFormat="1" applyFont="1" applyBorder="1" applyAlignment="1" applyProtection="1">
      <alignment vertical="center"/>
    </xf>
    <xf numFmtId="0" fontId="19" fillId="12" borderId="57" xfId="9" applyFont="1" applyBorder="1" applyAlignment="1" applyProtection="1">
      <alignment vertical="center"/>
    </xf>
    <xf numFmtId="0" fontId="0" fillId="16" borderId="0" xfId="0" applyNumberFormat="1" applyFill="1" applyBorder="1" applyProtection="1"/>
    <xf numFmtId="0" fontId="45" fillId="21" borderId="42" xfId="0" applyFont="1" applyFill="1" applyBorder="1" applyAlignment="1" applyProtection="1">
      <alignment horizontal="left"/>
    </xf>
    <xf numFmtId="0" fontId="51" fillId="0" borderId="0" xfId="0" applyFont="1" applyProtection="1"/>
    <xf numFmtId="0" fontId="25" fillId="11" borderId="31" xfId="5" applyNumberFormat="1" applyFont="1" applyBorder="1" applyAlignment="1" applyProtection="1">
      <alignment horizontal="center"/>
    </xf>
    <xf numFmtId="0" fontId="22" fillId="11" borderId="54" xfId="5" applyBorder="1" applyProtection="1"/>
    <xf numFmtId="0" fontId="33" fillId="16" borderId="38" xfId="10" applyFill="1" applyBorder="1" applyAlignment="1" applyProtection="1">
      <alignment horizontal="center"/>
    </xf>
    <xf numFmtId="0" fontId="33" fillId="16" borderId="58" xfId="10" applyFill="1" applyBorder="1" applyProtection="1"/>
    <xf numFmtId="164" fontId="19" fillId="12" borderId="60" xfId="9" applyNumberFormat="1" applyFont="1" applyBorder="1" applyAlignment="1" applyProtection="1">
      <alignment vertical="center"/>
    </xf>
    <xf numFmtId="0" fontId="0" fillId="16" borderId="66" xfId="0" applyFill="1" applyBorder="1" applyProtection="1"/>
    <xf numFmtId="164" fontId="34" fillId="12" borderId="60" xfId="9" applyNumberFormat="1" applyFont="1" applyBorder="1" applyAlignment="1" applyProtection="1">
      <alignment vertical="center"/>
    </xf>
    <xf numFmtId="0" fontId="48" fillId="17" borderId="0" xfId="0" applyFont="1" applyFill="1" applyBorder="1" applyAlignment="1" applyProtection="1">
      <alignment horizontal="center"/>
    </xf>
    <xf numFmtId="0" fontId="38" fillId="17" borderId="50" xfId="0" applyNumberFormat="1" applyFont="1" applyFill="1" applyBorder="1" applyProtection="1"/>
    <xf numFmtId="0" fontId="40" fillId="16" borderId="0" xfId="0" applyFont="1" applyFill="1" applyBorder="1" applyProtection="1"/>
    <xf numFmtId="0" fontId="24" fillId="16" borderId="50" xfId="0" applyFont="1" applyFill="1" applyBorder="1" applyAlignment="1" applyProtection="1">
      <alignment vertical="center"/>
    </xf>
    <xf numFmtId="0" fontId="42" fillId="16" borderId="0" xfId="6" applyFont="1" applyFill="1" applyBorder="1" applyAlignment="1" applyProtection="1">
      <alignment horizontal="center" wrapText="1"/>
    </xf>
    <xf numFmtId="0" fontId="41" fillId="6" borderId="44" xfId="6" applyFont="1" applyFill="1" applyBorder="1" applyAlignment="1" applyProtection="1">
      <alignment horizontal="left" vertical="center" wrapText="1" indent="1"/>
    </xf>
    <xf numFmtId="0" fontId="40" fillId="16" borderId="0" xfId="0" applyNumberFormat="1" applyFont="1" applyFill="1" applyBorder="1" applyAlignment="1" applyProtection="1">
      <alignment horizontal="center" vertical="center"/>
    </xf>
    <xf numFmtId="0" fontId="38" fillId="17" borderId="33" xfId="0" applyFont="1" applyFill="1" applyBorder="1" applyAlignment="1" applyProtection="1">
      <alignment horizontal="center"/>
    </xf>
    <xf numFmtId="0" fontId="38" fillId="17" borderId="55" xfId="0" applyNumberFormat="1" applyFont="1" applyFill="1" applyBorder="1" applyProtection="1"/>
    <xf numFmtId="0" fontId="35" fillId="13" borderId="38" xfId="8" applyNumberFormat="1" applyFont="1" applyBorder="1" applyAlignment="1" applyProtection="1">
      <alignment horizontal="center"/>
    </xf>
    <xf numFmtId="0" fontId="28" fillId="13" borderId="58" xfId="8" applyBorder="1" applyProtection="1"/>
    <xf numFmtId="0" fontId="50" fillId="12" borderId="61" xfId="7" applyNumberFormat="1" applyFont="1" applyBorder="1" applyAlignment="1" applyProtection="1">
      <alignment horizontal="center" vertical="center" wrapText="1"/>
    </xf>
    <xf numFmtId="0" fontId="50" fillId="12" borderId="61" xfId="7" applyNumberFormat="1" applyFont="1" applyBorder="1" applyAlignment="1" applyProtection="1">
      <alignment horizontal="center"/>
    </xf>
    <xf numFmtId="0" fontId="40" fillId="16" borderId="0" xfId="0" applyNumberFormat="1" applyFont="1" applyFill="1" applyBorder="1" applyProtection="1"/>
    <xf numFmtId="164" fontId="50" fillId="12" borderId="61" xfId="7" applyNumberFormat="1" applyFont="1" applyBorder="1" applyProtection="1"/>
    <xf numFmtId="0" fontId="39" fillId="16" borderId="0" xfId="3" applyNumberFormat="1" applyFont="1" applyFill="1" applyBorder="1" applyProtection="1"/>
    <xf numFmtId="0" fontId="39" fillId="16" borderId="62" xfId="3" applyFont="1" applyFill="1" applyBorder="1" applyProtection="1"/>
    <xf numFmtId="164" fontId="50" fillId="12" borderId="63" xfId="7" applyNumberFormat="1" applyFont="1" applyBorder="1" applyProtection="1"/>
    <xf numFmtId="44" fontId="50" fillId="12" borderId="61" xfId="7" applyNumberFormat="1" applyFont="1" applyBorder="1" applyAlignment="1" applyProtection="1">
      <alignment horizontal="center"/>
    </xf>
    <xf numFmtId="0" fontId="40" fillId="16" borderId="64" xfId="0" applyNumberFormat="1" applyFont="1" applyFill="1" applyBorder="1" applyProtection="1"/>
    <xf numFmtId="0" fontId="40" fillId="16" borderId="65" xfId="0" applyFont="1" applyFill="1" applyBorder="1" applyProtection="1"/>
    <xf numFmtId="0" fontId="35" fillId="15" borderId="67" xfId="0" applyNumberFormat="1" applyFont="1" applyFill="1" applyBorder="1" applyProtection="1"/>
    <xf numFmtId="0" fontId="35" fillId="15" borderId="67" xfId="0" applyNumberFormat="1" applyFont="1" applyFill="1" applyBorder="1" applyAlignment="1" applyProtection="1">
      <alignment horizontal="center"/>
    </xf>
    <xf numFmtId="0" fontId="35" fillId="15" borderId="68" xfId="0" applyNumberFormat="1" applyFont="1" applyFill="1" applyBorder="1" applyProtection="1"/>
    <xf numFmtId="0" fontId="33" fillId="16" borderId="38" xfId="10" applyFill="1" applyBorder="1" applyAlignment="1" applyProtection="1">
      <alignment wrapText="1"/>
    </xf>
    <xf numFmtId="0" fontId="33" fillId="16" borderId="56" xfId="10" applyNumberFormat="1" applyFill="1" applyBorder="1" applyProtection="1"/>
    <xf numFmtId="0" fontId="40" fillId="16" borderId="43" xfId="0" applyFont="1" applyFill="1" applyBorder="1" applyProtection="1"/>
    <xf numFmtId="0" fontId="40" fillId="16" borderId="43" xfId="0" applyNumberFormat="1" applyFont="1" applyFill="1" applyBorder="1" applyProtection="1"/>
    <xf numFmtId="0" fontId="42" fillId="16" borderId="0" xfId="6" applyFont="1" applyFill="1" applyBorder="1" applyAlignment="1" applyProtection="1">
      <alignment horizontal="center" vertical="center" wrapText="1"/>
    </xf>
    <xf numFmtId="0" fontId="43" fillId="20" borderId="40" xfId="0" applyFont="1" applyFill="1" applyBorder="1" applyAlignment="1" applyProtection="1">
      <alignment horizontal="center" vertical="center"/>
    </xf>
    <xf numFmtId="0" fontId="24" fillId="0" borderId="0" xfId="0" applyFont="1" applyAlignment="1" applyProtection="1">
      <alignment vertical="center"/>
    </xf>
    <xf numFmtId="0" fontId="43" fillId="20" borderId="40" xfId="0" applyFont="1" applyFill="1" applyBorder="1" applyAlignment="1" applyProtection="1">
      <alignment horizontal="center"/>
    </xf>
    <xf numFmtId="0" fontId="40" fillId="16" borderId="43" xfId="0" applyFont="1" applyFill="1" applyBorder="1" applyAlignment="1" applyProtection="1">
      <alignment horizontal="left" vertical="center" wrapText="1"/>
    </xf>
    <xf numFmtId="0" fontId="25" fillId="11" borderId="41" xfId="5" applyFont="1" applyBorder="1" applyAlignment="1" applyProtection="1">
      <alignment horizontal="center"/>
    </xf>
    <xf numFmtId="0" fontId="25" fillId="11" borderId="51" xfId="5" applyFont="1" applyBorder="1" applyProtection="1"/>
    <xf numFmtId="0" fontId="33" fillId="16" borderId="56" xfId="10" applyFill="1" applyBorder="1" applyProtection="1"/>
    <xf numFmtId="0" fontId="40" fillId="16" borderId="0" xfId="0" applyFont="1" applyFill="1" applyBorder="1" applyAlignment="1" applyProtection="1">
      <alignment wrapText="1"/>
    </xf>
    <xf numFmtId="0" fontId="25" fillId="11" borderId="31" xfId="5" applyFont="1" applyBorder="1" applyAlignment="1" applyProtection="1">
      <alignment horizontal="center"/>
    </xf>
    <xf numFmtId="0" fontId="25" fillId="11" borderId="47" xfId="5" applyFont="1" applyBorder="1" applyProtection="1"/>
    <xf numFmtId="0" fontId="41" fillId="6" borderId="34" xfId="0" applyFont="1" applyFill="1" applyBorder="1" applyAlignment="1" applyProtection="1">
      <alignment horizontal="left" vertical="center" wrapText="1" indent="1"/>
    </xf>
    <xf numFmtId="0" fontId="40" fillId="16" borderId="43" xfId="0" applyFont="1" applyFill="1" applyBorder="1" applyAlignment="1" applyProtection="1">
      <alignment wrapText="1"/>
    </xf>
    <xf numFmtId="0" fontId="22" fillId="11" borderId="47" xfId="5" applyNumberFormat="1" applyBorder="1" applyProtection="1"/>
    <xf numFmtId="1" fontId="40" fillId="16" borderId="43" xfId="0" applyNumberFormat="1" applyFont="1" applyFill="1" applyBorder="1" applyProtection="1"/>
    <xf numFmtId="0" fontId="44" fillId="16" borderId="49" xfId="4" applyNumberFormat="1" applyFont="1" applyFill="1" applyBorder="1" applyProtection="1"/>
    <xf numFmtId="0" fontId="39" fillId="16" borderId="43" xfId="2" applyNumberFormat="1" applyFont="1" applyFill="1" applyBorder="1" applyProtection="1"/>
    <xf numFmtId="0" fontId="25" fillId="11" borderId="31" xfId="5" applyFont="1" applyFill="1" applyBorder="1" applyAlignment="1" applyProtection="1">
      <alignment horizontal="center"/>
    </xf>
    <xf numFmtId="0" fontId="22" fillId="11" borderId="47" xfId="5" applyNumberFormat="1" applyFont="1" applyFill="1" applyBorder="1" applyProtection="1"/>
    <xf numFmtId="0" fontId="44" fillId="16" borderId="48" xfId="11" applyNumberFormat="1" applyFont="1" applyFill="1" applyBorder="1" applyProtection="1"/>
    <xf numFmtId="0" fontId="31" fillId="14" borderId="52" xfId="0" applyFont="1" applyFill="1" applyBorder="1" applyAlignment="1" applyProtection="1">
      <alignment horizontal="center"/>
    </xf>
    <xf numFmtId="0" fontId="0" fillId="14" borderId="53" xfId="0" applyNumberFormat="1" applyFill="1" applyBorder="1" applyProtection="1"/>
    <xf numFmtId="0" fontId="0" fillId="0" borderId="0" xfId="0" applyNumberFormat="1" applyProtection="1"/>
    <xf numFmtId="0" fontId="50" fillId="12" borderId="61" xfId="7" applyFont="1" applyBorder="1" applyAlignment="1" applyProtection="1">
      <alignment horizontal="right" indent="1"/>
    </xf>
    <xf numFmtId="0" fontId="50" fillId="12" borderId="61" xfId="7" applyNumberFormat="1" applyFont="1" applyBorder="1" applyAlignment="1" applyProtection="1">
      <alignment horizontal="right" indent="1"/>
    </xf>
    <xf numFmtId="0" fontId="50" fillId="12" borderId="63" xfId="7" applyFont="1" applyBorder="1" applyAlignment="1" applyProtection="1">
      <alignment horizontal="right" indent="1"/>
    </xf>
    <xf numFmtId="0" fontId="49" fillId="6" borderId="34" xfId="0" applyNumberFormat="1" applyFont="1" applyFill="1" applyBorder="1" applyAlignment="1" applyProtection="1">
      <alignment horizontal="left" vertical="center" indent="1"/>
    </xf>
    <xf numFmtId="0" fontId="49" fillId="6" borderId="34" xfId="0" applyNumberFormat="1" applyFont="1" applyFill="1" applyBorder="1" applyAlignment="1" applyProtection="1">
      <alignment horizontal="left" indent="1"/>
    </xf>
    <xf numFmtId="0" fontId="40" fillId="6" borderId="35" xfId="0" applyNumberFormat="1" applyFont="1" applyFill="1" applyBorder="1" applyAlignment="1" applyProtection="1">
      <alignment horizontal="left" indent="1"/>
    </xf>
    <xf numFmtId="0" fontId="40" fillId="6" borderId="36" xfId="0" applyNumberFormat="1" applyFont="1" applyFill="1" applyBorder="1" applyAlignment="1" applyProtection="1">
      <alignment horizontal="left" indent="1"/>
    </xf>
    <xf numFmtId="0" fontId="40" fillId="6" borderId="34" xfId="0" applyNumberFormat="1" applyFont="1" applyFill="1" applyBorder="1" applyAlignment="1" applyProtection="1">
      <alignment horizontal="left" indent="1"/>
    </xf>
    <xf numFmtId="0" fontId="40" fillId="6" borderId="37" xfId="0" applyNumberFormat="1" applyFont="1" applyFill="1" applyBorder="1" applyAlignment="1" applyProtection="1">
      <alignment horizontal="left" indent="1"/>
    </xf>
    <xf numFmtId="0" fontId="22" fillId="17" borderId="0" xfId="0" applyFont="1" applyFill="1" applyBorder="1" applyAlignment="1" applyProtection="1">
      <alignment horizontal="left" indent="1"/>
    </xf>
    <xf numFmtId="0" fontId="0" fillId="16" borderId="0" xfId="0" applyFont="1" applyFill="1" applyBorder="1" applyAlignment="1" applyProtection="1">
      <alignment horizontal="left" indent="1"/>
    </xf>
    <xf numFmtId="0" fontId="33" fillId="18" borderId="38" xfId="10" applyFill="1" applyBorder="1" applyAlignment="1" applyProtection="1">
      <alignment horizontal="left" indent="1"/>
    </xf>
    <xf numFmtId="0" fontId="40" fillId="16" borderId="0" xfId="0" applyFont="1" applyFill="1" applyBorder="1" applyAlignment="1" applyProtection="1">
      <alignment horizontal="left" vertical="center" wrapText="1" indent="1"/>
    </xf>
    <xf numFmtId="0" fontId="0" fillId="16" borderId="0" xfId="0" applyFill="1" applyBorder="1" applyAlignment="1" applyProtection="1">
      <alignment horizontal="left" vertical="center" wrapText="1" indent="1"/>
    </xf>
    <xf numFmtId="0" fontId="0" fillId="16" borderId="0" xfId="0" applyFill="1" applyBorder="1" applyAlignment="1" applyProtection="1">
      <alignment horizontal="left" indent="1"/>
    </xf>
    <xf numFmtId="0" fontId="22" fillId="11" borderId="70" xfId="5" applyBorder="1" applyAlignment="1" applyProtection="1">
      <alignment horizontal="left" indent="1"/>
    </xf>
    <xf numFmtId="0" fontId="33" fillId="16" borderId="38" xfId="10" applyFill="1" applyBorder="1" applyAlignment="1" applyProtection="1">
      <alignment horizontal="left" indent="1"/>
    </xf>
    <xf numFmtId="0" fontId="38" fillId="17" borderId="0" xfId="0" applyFont="1" applyFill="1" applyBorder="1" applyAlignment="1" applyProtection="1">
      <alignment horizontal="left" indent="1"/>
    </xf>
    <xf numFmtId="0" fontId="40" fillId="16" borderId="0" xfId="0" applyFont="1" applyFill="1" applyBorder="1" applyAlignment="1" applyProtection="1">
      <alignment horizontal="left" indent="1"/>
    </xf>
    <xf numFmtId="0" fontId="38" fillId="17" borderId="33" xfId="0" applyFont="1" applyFill="1" applyBorder="1" applyAlignment="1" applyProtection="1">
      <alignment horizontal="left" indent="1"/>
    </xf>
    <xf numFmtId="0" fontId="28" fillId="13" borderId="38" xfId="8" applyBorder="1" applyAlignment="1" applyProtection="1">
      <alignment horizontal="left" indent="1"/>
    </xf>
    <xf numFmtId="0" fontId="39" fillId="16" borderId="29" xfId="3" applyNumberFormat="1" applyFont="1" applyFill="1" applyBorder="1" applyAlignment="1" applyProtection="1">
      <alignment horizontal="left" indent="1"/>
    </xf>
    <xf numFmtId="0" fontId="40" fillId="16" borderId="64" xfId="0" applyFont="1" applyFill="1" applyBorder="1" applyAlignment="1" applyProtection="1">
      <alignment horizontal="left" indent="1"/>
    </xf>
    <xf numFmtId="0" fontId="40" fillId="16" borderId="69" xfId="0" applyFont="1" applyFill="1" applyBorder="1" applyAlignment="1" applyProtection="1">
      <alignment horizontal="left" vertical="center" wrapText="1" indent="1"/>
    </xf>
    <xf numFmtId="0" fontId="25" fillId="11" borderId="70" xfId="5" applyFont="1" applyBorder="1" applyAlignment="1" applyProtection="1">
      <alignment horizontal="left" wrapText="1" indent="1"/>
    </xf>
    <xf numFmtId="0" fontId="33" fillId="16" borderId="38" xfId="10" applyFill="1" applyBorder="1" applyAlignment="1" applyProtection="1">
      <alignment horizontal="left" wrapText="1" indent="1"/>
    </xf>
    <xf numFmtId="0" fontId="40" fillId="16" borderId="0" xfId="0" applyFont="1" applyFill="1" applyBorder="1" applyAlignment="1" applyProtection="1">
      <alignment horizontal="left" wrapText="1" indent="1"/>
    </xf>
    <xf numFmtId="0" fontId="22" fillId="11" borderId="70" xfId="5" applyBorder="1" applyAlignment="1" applyProtection="1">
      <alignment horizontal="left" wrapText="1" indent="1"/>
    </xf>
    <xf numFmtId="0" fontId="40" fillId="16" borderId="71" xfId="0" applyFont="1" applyFill="1" applyBorder="1" applyAlignment="1" applyProtection="1">
      <alignment horizontal="left" wrapText="1" indent="1"/>
    </xf>
    <xf numFmtId="0" fontId="22" fillId="11" borderId="70" xfId="5" applyFont="1" applyFill="1" applyBorder="1" applyAlignment="1" applyProtection="1">
      <alignment horizontal="left" wrapText="1" indent="1"/>
    </xf>
    <xf numFmtId="0" fontId="47" fillId="16" borderId="0" xfId="0" applyFont="1" applyFill="1" applyBorder="1" applyAlignment="1" applyProtection="1">
      <alignment horizontal="left" wrapText="1" indent="1"/>
    </xf>
    <xf numFmtId="0" fontId="39" fillId="16" borderId="29" xfId="3" applyFont="1" applyFill="1" applyBorder="1" applyAlignment="1" applyProtection="1">
      <alignment horizontal="left" wrapText="1" indent="1"/>
    </xf>
    <xf numFmtId="0" fontId="0" fillId="14" borderId="52" xfId="0" applyFill="1" applyBorder="1" applyAlignment="1" applyProtection="1">
      <alignment horizontal="left" wrapText="1" indent="1"/>
    </xf>
    <xf numFmtId="0" fontId="45" fillId="21" borderId="42" xfId="0" applyFont="1" applyFill="1" applyBorder="1" applyAlignment="1" applyProtection="1">
      <alignment horizontal="left" indent="1"/>
    </xf>
    <xf numFmtId="0" fontId="45" fillId="21" borderId="45" xfId="0" applyFont="1" applyFill="1" applyBorder="1" applyAlignment="1" applyProtection="1">
      <alignment horizontal="left" indent="1"/>
    </xf>
    <xf numFmtId="0" fontId="39" fillId="16" borderId="29" xfId="3" applyFont="1" applyFill="1" applyBorder="1" applyAlignment="1" applyProtection="1">
      <alignment horizontal="left" indent="1"/>
    </xf>
    <xf numFmtId="0" fontId="39" fillId="16" borderId="29" xfId="0" applyFont="1" applyFill="1" applyBorder="1" applyAlignment="1" applyProtection="1">
      <alignment horizontal="left" indent="1"/>
    </xf>
    <xf numFmtId="0" fontId="44" fillId="19" borderId="48" xfId="11" applyNumberFormat="1" applyFont="1" applyBorder="1" applyAlignment="1" applyProtection="1">
      <alignment horizontal="right" indent="1"/>
      <protection locked="0"/>
    </xf>
    <xf numFmtId="0" fontId="32" fillId="6" borderId="34" xfId="0" applyNumberFormat="1" applyFont="1" applyFill="1" applyBorder="1" applyAlignment="1" applyProtection="1">
      <alignment horizontal="left" vertical="center" wrapText="1" indent="1"/>
    </xf>
    <xf numFmtId="0" fontId="37" fillId="6" borderId="34" xfId="0" applyFont="1" applyFill="1" applyBorder="1" applyAlignment="1" applyProtection="1">
      <alignment horizontal="left" vertical="center" wrapText="1" indent="1"/>
    </xf>
    <xf numFmtId="0" fontId="32" fillId="6" borderId="44" xfId="0" applyFont="1" applyFill="1" applyBorder="1" applyAlignment="1" applyProtection="1">
      <alignment horizontal="left" vertical="center" wrapText="1" indent="1"/>
    </xf>
    <xf numFmtId="0" fontId="0" fillId="0" borderId="26" xfId="0" applyBorder="1"/>
    <xf numFmtId="0" fontId="0" fillId="0" borderId="27" xfId="0" applyBorder="1"/>
    <xf numFmtId="0" fontId="0" fillId="0" borderId="25" xfId="0" applyBorder="1"/>
    <xf numFmtId="0" fontId="0" fillId="0" borderId="5" xfId="0" applyBorder="1"/>
    <xf numFmtId="0" fontId="0" fillId="0" borderId="10" xfId="0" applyBorder="1"/>
    <xf numFmtId="0" fontId="0" fillId="0" borderId="0" xfId="0" applyBorder="1"/>
    <xf numFmtId="0" fontId="0" fillId="0" borderId="11" xfId="0" applyBorder="1"/>
    <xf numFmtId="0" fontId="0" fillId="0" borderId="6" xfId="0" applyFill="1" applyBorder="1"/>
    <xf numFmtId="1" fontId="0" fillId="0" borderId="8" xfId="0" applyNumberFormat="1" applyFill="1" applyBorder="1"/>
    <xf numFmtId="0" fontId="0" fillId="0" borderId="0" xfId="0" applyFill="1" applyBorder="1"/>
    <xf numFmtId="0" fontId="0" fillId="0" borderId="6" xfId="0" applyBorder="1"/>
    <xf numFmtId="0" fontId="0" fillId="0" borderId="8" xfId="0" applyBorder="1"/>
    <xf numFmtId="0" fontId="0" fillId="0" borderId="9" xfId="0" applyBorder="1"/>
    <xf numFmtId="164" fontId="19" fillId="12" borderId="57" xfId="9" applyNumberFormat="1" applyFont="1" applyBorder="1" applyAlignment="1" applyProtection="1">
      <alignment vertical="center"/>
      <protection locked="0"/>
    </xf>
    <xf numFmtId="0" fontId="8" fillId="5" borderId="10" xfId="0" applyFont="1" applyFill="1" applyBorder="1" applyAlignment="1">
      <alignment horizontal="center" vertical="center"/>
    </xf>
    <xf numFmtId="0" fontId="10" fillId="7" borderId="1" xfId="0" applyFont="1" applyFill="1" applyBorder="1" applyAlignment="1">
      <alignment horizontal="center" vertical="top" wrapText="1"/>
    </xf>
    <xf numFmtId="0" fontId="10" fillId="7" borderId="2" xfId="0" applyFont="1" applyFill="1" applyBorder="1" applyAlignment="1">
      <alignment horizontal="center" vertical="top" wrapText="1"/>
    </xf>
    <xf numFmtId="0" fontId="9" fillId="0" borderId="1"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3" fillId="5" borderId="10" xfId="0" applyFont="1" applyFill="1" applyBorder="1" applyAlignment="1">
      <alignment horizontal="center" vertical="center"/>
    </xf>
    <xf numFmtId="0" fontId="5" fillId="5" borderId="10" xfId="0" applyFont="1" applyFill="1" applyBorder="1" applyAlignment="1">
      <alignment horizontal="center" vertical="top"/>
    </xf>
    <xf numFmtId="0" fontId="5" fillId="0" borderId="5" xfId="0" applyFont="1" applyFill="1" applyBorder="1" applyAlignment="1" applyProtection="1">
      <alignment horizontal="center" vertical="top"/>
      <protection locked="0"/>
    </xf>
    <xf numFmtId="0" fontId="5" fillId="0" borderId="6" xfId="0" applyFont="1" applyFill="1" applyBorder="1" applyAlignment="1" applyProtection="1">
      <alignment horizontal="center" vertical="top"/>
      <protection locked="0"/>
    </xf>
    <xf numFmtId="0" fontId="5" fillId="0" borderId="3" xfId="0" applyFont="1" applyFill="1" applyBorder="1" applyAlignment="1" applyProtection="1">
      <alignment horizontal="center" vertical="top"/>
      <protection locked="0"/>
    </xf>
    <xf numFmtId="0" fontId="5" fillId="0" borderId="9" xfId="0" applyFont="1" applyFill="1" applyBorder="1" applyAlignment="1" applyProtection="1">
      <alignment horizontal="center" vertical="top"/>
      <protection locked="0"/>
    </xf>
    <xf numFmtId="0" fontId="3" fillId="5" borderId="4" xfId="0" applyFont="1" applyFill="1" applyBorder="1" applyAlignment="1" applyProtection="1">
      <alignment horizontal="center" vertical="center"/>
    </xf>
    <xf numFmtId="0" fontId="3" fillId="5" borderId="4" xfId="0" applyFont="1" applyFill="1" applyBorder="1" applyAlignment="1">
      <alignment horizontal="center" vertical="center"/>
    </xf>
    <xf numFmtId="0" fontId="12" fillId="7" borderId="1" xfId="0" applyFont="1" applyFill="1" applyBorder="1" applyAlignment="1">
      <alignment horizontal="center" vertical="top" wrapText="1"/>
    </xf>
    <xf numFmtId="0" fontId="12" fillId="7" borderId="2" xfId="0" applyFont="1" applyFill="1" applyBorder="1" applyAlignment="1">
      <alignment horizontal="center" vertical="top" wrapText="1"/>
    </xf>
    <xf numFmtId="0" fontId="10" fillId="7" borderId="15" xfId="0" applyFont="1" applyFill="1" applyBorder="1" applyAlignment="1">
      <alignment horizontal="center" vertical="top" wrapText="1"/>
    </xf>
    <xf numFmtId="0" fontId="10" fillId="7" borderId="24" xfId="0" applyFont="1" applyFill="1" applyBorder="1" applyAlignment="1">
      <alignment horizontal="center" vertical="top" wrapText="1"/>
    </xf>
    <xf numFmtId="0" fontId="8" fillId="5" borderId="4"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4" xfId="0" applyFont="1" applyFill="1" applyBorder="1" applyAlignment="1" applyProtection="1">
      <alignment horizontal="center" vertical="center"/>
    </xf>
    <xf numFmtId="0" fontId="8" fillId="5" borderId="10" xfId="0" applyFont="1" applyFill="1" applyBorder="1" applyAlignment="1" applyProtection="1">
      <alignment horizontal="center" vertical="center"/>
    </xf>
  </cellXfs>
  <cellStyles count="12">
    <cellStyle name="Accent1" xfId="8" builtinId="29"/>
    <cellStyle name="Calculation" xfId="9" builtinId="22"/>
    <cellStyle name="Check Cell" xfId="5" builtinId="23"/>
    <cellStyle name="Currency" xfId="1" builtinId="4"/>
    <cellStyle name="Explanatory Text" xfId="6" builtinId="53"/>
    <cellStyle name="Heading 1" xfId="10" builtinId="16"/>
    <cellStyle name="Heading 2" xfId="2" builtinId="17"/>
    <cellStyle name="Heading 3" xfId="3" builtinId="18"/>
    <cellStyle name="Input" xfId="4" builtinId="20"/>
    <cellStyle name="Normal" xfId="0" builtinId="0"/>
    <cellStyle name="Note" xfId="11" builtinId="10"/>
    <cellStyle name="Output" xfId="7" builtinId="21"/>
  </cellStyles>
  <dxfs count="794">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val="0"/>
        <i val="0"/>
        <strike val="0"/>
        <condense val="0"/>
        <extend val="0"/>
        <outline val="0"/>
        <shadow val="0"/>
        <u val="none"/>
        <vertAlign val="baseline"/>
        <sz val="12"/>
        <color rgb="FF000000"/>
        <name val="Calibri"/>
        <scheme val="none"/>
      </font>
      <fill>
        <patternFill patternType="solid">
          <fgColor rgb="FFFFFFFF"/>
          <bgColor rgb="FFFFFFFF"/>
        </patternFill>
      </fill>
    </dxf>
    <dxf>
      <font>
        <b/>
        <i val="0"/>
        <strike val="0"/>
        <condense val="0"/>
        <extend val="0"/>
        <outline val="0"/>
        <shadow val="0"/>
        <u val="none"/>
        <vertAlign val="baseline"/>
        <sz val="12"/>
        <color rgb="FFFFFFFF"/>
        <name val="Calibri"/>
        <scheme val="none"/>
      </font>
      <fill>
        <patternFill patternType="solid">
          <fgColor rgb="FFFFFFFF"/>
          <bgColor rgb="FF428BCA"/>
        </patternFill>
      </fill>
    </dxf>
    <dxf>
      <font>
        <color rgb="FF9C0006"/>
      </font>
      <fill>
        <patternFill>
          <bgColor rgb="FFFFC7CE"/>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patternType="solid">
          <fgColor theme="0"/>
          <bgColor theme="0" tint="-0.24994659260841701"/>
        </patternFill>
      </fill>
      <border>
        <left/>
        <right/>
        <top/>
        <bottom/>
      </border>
    </dxf>
    <dxf>
      <font>
        <color theme="0" tint="-0.24994659260841701"/>
      </font>
      <fill>
        <patternFill>
          <fgColor theme="0" tint="-0.24994659260841701"/>
          <bgColor theme="0" tint="-0.24994659260841701"/>
        </patternFill>
      </fill>
      <border>
        <left/>
        <top/>
        <vertical/>
        <horizontal/>
      </border>
    </dxf>
    <dxf>
      <font>
        <color theme="0"/>
      </font>
      <fill>
        <patternFill>
          <bgColor theme="0" tint="-0.24994659260841701"/>
        </patternFill>
      </fill>
    </dxf>
    <dxf>
      <font>
        <color theme="0" tint="-0.24994659260841701"/>
      </font>
      <fill>
        <patternFill patternType="solid">
          <fgColor theme="0"/>
          <bgColor theme="0" tint="-0.24994659260841701"/>
        </patternFill>
      </fill>
      <border>
        <left/>
        <top/>
        <bottom/>
      </border>
    </dxf>
    <dxf>
      <border>
        <left style="thin">
          <color rgb="FF002060"/>
        </left>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bgColor theme="0" tint="-0.24994659260841701"/>
        </patternFill>
      </fill>
      <border>
        <left/>
        <top/>
        <vertical/>
        <horizontal/>
      </border>
    </dxf>
    <dxf>
      <font>
        <color theme="0" tint="-0.24994659260841701"/>
      </font>
      <fill>
        <patternFill>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3" tint="0.79998168889431442"/>
      </font>
      <fill>
        <patternFill>
          <bgColor theme="3" tint="0.79998168889431442"/>
        </patternFill>
      </fill>
    </dxf>
    <dxf>
      <font>
        <color theme="0" tint="-0.24994659260841701"/>
      </font>
      <fill>
        <patternFill patternType="solid">
          <fgColor theme="0"/>
          <bgColor theme="0" tint="-0.24994659260841701"/>
        </patternFill>
      </fill>
      <border>
        <left/>
        <top/>
        <bottom/>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border>
        <left style="thin">
          <color rgb="FF002060"/>
        </left>
        <vertical/>
        <horizontal/>
      </border>
    </dxf>
    <dxf>
      <font>
        <color theme="3" tint="0.79998168889431442"/>
      </font>
      <fill>
        <patternFill patternType="solid">
          <fgColor theme="0"/>
          <bgColor theme="3" tint="0.79998168889431442"/>
        </patternFill>
      </fill>
      <border>
        <left/>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b/>
        <i val="0"/>
        <color rgb="FFFF0000"/>
      </font>
      <fill>
        <patternFill patternType="solid">
          <fgColor theme="0"/>
          <bgColor theme="0"/>
        </patternFill>
      </fill>
      <border>
        <left style="thin">
          <color rgb="FFFF0000"/>
        </left>
        <right style="thin">
          <color rgb="FFFF0000"/>
        </right>
        <top style="thin">
          <color rgb="FFFF0000"/>
        </top>
        <bottom style="thin">
          <color rgb="FFFF0000"/>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top/>
        <bottom/>
        <vertical/>
        <horizontal/>
      </border>
    </dxf>
    <dxf>
      <font>
        <b/>
        <i val="0"/>
        <color theme="1"/>
      </font>
      <fill>
        <patternFill patternType="lightGray">
          <fgColor theme="0" tint="-0.24994659260841701"/>
          <bgColor theme="0" tint="-4.9989318521683403E-2"/>
        </patternFill>
      </fill>
      <border>
        <left style="thin">
          <color theme="1"/>
        </left>
        <right style="thin">
          <color theme="1"/>
        </right>
        <top style="thin">
          <color theme="1"/>
        </top>
        <bottom style="thin">
          <color theme="1"/>
        </bottom>
        <vertical/>
        <horizontal/>
      </border>
    </dxf>
    <dxf>
      <font>
        <b/>
        <i val="0"/>
        <color rgb="FFFF0000"/>
      </font>
      <fill>
        <patternFill patternType="lightGray">
          <fgColor theme="0" tint="-0.24994659260841701"/>
          <bgColor theme="0" tint="-4.9989318521683403E-2"/>
        </patternFill>
      </fill>
      <border>
        <left style="thin">
          <color auto="1"/>
        </left>
        <right style="thin">
          <color auto="1"/>
        </right>
        <top style="thin">
          <color auto="1"/>
        </top>
        <bottom style="thin">
          <color auto="1"/>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vertical/>
        <horizontal/>
      </border>
    </dxf>
    <dxf>
      <font>
        <b/>
        <i val="0"/>
        <color theme="0"/>
      </font>
      <fill>
        <patternFill patternType="solid">
          <fgColor theme="0"/>
          <bgColor theme="0" tint="-0.24994659260841701"/>
        </patternFill>
      </fill>
      <border>
        <left/>
        <right/>
        <top/>
        <bottom/>
        <vertical/>
        <horizontal/>
      </border>
    </dxf>
    <dxf>
      <font>
        <color theme="0" tint="-0.24994659260841701"/>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bottom/>
        <vertical/>
        <horizontal/>
      </border>
    </dxf>
    <dxf>
      <font>
        <b/>
        <i val="0"/>
        <color theme="0"/>
      </font>
      <fill>
        <patternFill patternType="solid">
          <fgColor theme="0"/>
          <bgColor theme="0" tint="-0.24994659260841701"/>
        </patternFill>
      </fill>
      <border>
        <left/>
        <right/>
        <bottom/>
        <vertical/>
        <horizontal/>
      </border>
    </dxf>
    <dxf>
      <font>
        <color theme="0" tint="-0.24994659260841701"/>
      </font>
      <fill>
        <patternFill patternType="solid">
          <fgColor theme="0"/>
          <bgColor theme="0" tint="-0.24994659260841701"/>
        </patternFill>
      </fill>
      <border>
        <left/>
        <bottom/>
        <vertical/>
        <horizontal/>
      </border>
    </dxf>
    <dxf>
      <font>
        <color theme="0" tint="-4.9989318521683403E-2"/>
      </font>
      <fill>
        <patternFill patternType="solid">
          <fgColor theme="0"/>
          <bgColor theme="0" tint="-0.24994659260841701"/>
        </patternFill>
      </fill>
      <border>
        <left/>
        <top/>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4.9989318521683403E-2"/>
      </font>
      <fill>
        <patternFill patternType="solid">
          <fgColor theme="0"/>
          <bgColor theme="0" tint="-0.24994659260841701"/>
        </patternFill>
      </fill>
      <border>
        <left/>
        <bottom/>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0" tint="-0.24994659260841701"/>
      </font>
      <fill>
        <patternFill patternType="solid">
          <fgColor theme="0"/>
          <bgColor theme="0" tint="-0.24994659260841701"/>
        </patternFill>
      </fill>
      <border>
        <left/>
        <top/>
        <vertical/>
        <horizontal/>
      </border>
    </dxf>
    <dxf>
      <font>
        <color theme="3" tint="0.79998168889431442"/>
      </font>
      <fill>
        <patternFill patternType="solid">
          <fgColor theme="0"/>
          <bgColor theme="3" tint="0.79998168889431442"/>
        </patternFill>
      </fill>
      <border>
        <left/>
        <vertical/>
        <horizontal/>
      </border>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color theme="0" tint="-4.9989318521683403E-2"/>
      </font>
      <fill>
        <patternFill patternType="solid">
          <fgColor theme="0"/>
          <bgColor theme="0" tint="-0.24994659260841701"/>
        </patternFill>
      </fill>
      <border>
        <left/>
        <top/>
        <bottom/>
      </border>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font>
      <fill>
        <patternFill>
          <bgColor theme="0" tint="-0.24994659260841701"/>
        </patternFill>
      </fill>
    </dxf>
    <dxf>
      <font>
        <b/>
        <i val="0"/>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
      <font>
        <color theme="0" tint="-4.9989318521683403E-2"/>
      </font>
      <fill>
        <patternFill patternType="solid">
          <fgColor theme="0"/>
          <bgColor theme="0" tint="-0.24994659260841701"/>
        </patternFill>
      </fill>
      <border>
        <left/>
        <top/>
        <bottom/>
      </border>
    </dxf>
  </dxfs>
  <tableStyles count="0" defaultTableStyle="TableStyleMedium2" defaultPivotStyle="PivotStyleLight16"/>
  <colors>
    <mruColors>
      <color rgb="FFCC0000"/>
      <color rgb="FFFF5050"/>
      <color rgb="FFCA07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miam\Work%20Folders\Desktop\LSER%20Template%20-%20formulas%20comparison%20do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py%20of%20OLSC%20-%20Legal%20Services%20Expenditure%20Report%20-%20LSER%20-%20Entity%20Template%20V.2%20%20202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s>
    <sheetDataSet>
      <sheetData sheetId="0" refreshError="1"/>
      <sheetData sheetId="1" refreshError="1"/>
      <sheetData sheetId="2">
        <row r="2">
          <cell r="A2" t="str">
            <v>Administrative Appeals Tribunal</v>
          </cell>
          <cell r="B2">
            <v>5510516</v>
          </cell>
          <cell r="C2">
            <v>5056803</v>
          </cell>
          <cell r="D2">
            <v>453713</v>
          </cell>
        </row>
        <row r="3">
          <cell r="A3" t="str">
            <v>Aged Care Quality and Safety Commission</v>
          </cell>
          <cell r="B3">
            <v>2735785</v>
          </cell>
          <cell r="C3">
            <v>1769012</v>
          </cell>
          <cell r="D3">
            <v>966773</v>
          </cell>
        </row>
        <row r="4">
          <cell r="A4" t="str">
            <v>Airservices Australia</v>
          </cell>
          <cell r="B4">
            <v>6273953</v>
          </cell>
          <cell r="C4">
            <v>1600837</v>
          </cell>
          <cell r="D4">
            <v>4673116</v>
          </cell>
        </row>
        <row r="5">
          <cell r="A5" t="str">
            <v>Anindilyakwa Land Council</v>
          </cell>
          <cell r="B5">
            <v>357244</v>
          </cell>
          <cell r="C5">
            <v>98255</v>
          </cell>
          <cell r="D5">
            <v>258989</v>
          </cell>
        </row>
        <row r="6">
          <cell r="A6" t="str">
            <v>Army and Air Force Canteen Service</v>
          </cell>
          <cell r="B6">
            <v>49064</v>
          </cell>
          <cell r="C6">
            <v>44068</v>
          </cell>
          <cell r="D6">
            <v>4996</v>
          </cell>
        </row>
        <row r="7">
          <cell r="A7" t="str">
            <v>Asbestos Safety and Eradication Agency</v>
          </cell>
          <cell r="B7">
            <v>7840</v>
          </cell>
          <cell r="C7">
            <v>0</v>
          </cell>
          <cell r="D7">
            <v>7840</v>
          </cell>
        </row>
        <row r="8">
          <cell r="A8" t="str">
            <v>Attorney-General's Department</v>
          </cell>
          <cell r="B8">
            <v>67291990</v>
          </cell>
          <cell r="C8">
            <v>18194365</v>
          </cell>
          <cell r="D8">
            <v>49097625</v>
          </cell>
        </row>
        <row r="9">
          <cell r="A9" t="str">
            <v>Australia Council</v>
          </cell>
          <cell r="B9">
            <v>234132</v>
          </cell>
          <cell r="C9">
            <v>219264</v>
          </cell>
          <cell r="D9">
            <v>14868</v>
          </cell>
        </row>
        <row r="10">
          <cell r="A10" t="str">
            <v>Australian Building and Construction Commission</v>
          </cell>
          <cell r="B10">
            <v>7967942</v>
          </cell>
          <cell r="C10">
            <v>3237514</v>
          </cell>
          <cell r="D10">
            <v>4730428</v>
          </cell>
        </row>
        <row r="11">
          <cell r="A11" t="str">
            <v>Australian Bureau of Statistics</v>
          </cell>
          <cell r="B11">
            <v>347602</v>
          </cell>
          <cell r="C11">
            <v>195170</v>
          </cell>
          <cell r="D11">
            <v>152432</v>
          </cell>
        </row>
        <row r="12">
          <cell r="A12" t="str">
            <v>Australian Centre for International Agricultural Research</v>
          </cell>
          <cell r="B12">
            <v>518566</v>
          </cell>
          <cell r="C12">
            <v>0</v>
          </cell>
          <cell r="D12">
            <v>518566</v>
          </cell>
        </row>
        <row r="13">
          <cell r="A13" t="str">
            <v>Australian Commission for Law Enforcement Integrity</v>
          </cell>
          <cell r="B13">
            <v>2094123</v>
          </cell>
          <cell r="C13">
            <v>1916957</v>
          </cell>
          <cell r="D13">
            <v>177166</v>
          </cell>
        </row>
        <row r="14">
          <cell r="A14" t="str">
            <v>Australian Commission on Safety and Quality in Health Care</v>
          </cell>
          <cell r="B14">
            <v>81338</v>
          </cell>
          <cell r="C14">
            <v>0</v>
          </cell>
          <cell r="D14">
            <v>81338</v>
          </cell>
        </row>
        <row r="15">
          <cell r="A15" t="str">
            <v>Australian Communications and Media Authority</v>
          </cell>
          <cell r="B15">
            <v>4875556</v>
          </cell>
          <cell r="C15">
            <v>4020886</v>
          </cell>
          <cell r="D15">
            <v>854670</v>
          </cell>
        </row>
        <row r="16">
          <cell r="A16" t="str">
            <v>Australian Competition and Consumer Commission</v>
          </cell>
          <cell r="B16">
            <v>43801243</v>
          </cell>
          <cell r="C16">
            <v>19189330</v>
          </cell>
          <cell r="D16">
            <v>24611913</v>
          </cell>
        </row>
        <row r="17">
          <cell r="A17" t="str">
            <v>Australian Criminal Intelligence Commission</v>
          </cell>
          <cell r="B17">
            <v>5481018</v>
          </cell>
          <cell r="C17">
            <v>4430190</v>
          </cell>
          <cell r="D17">
            <v>1050828</v>
          </cell>
        </row>
        <row r="18">
          <cell r="A18" t="str">
            <v>Australian Curriculum, Assessment and Reporting Authority</v>
          </cell>
          <cell r="B18">
            <v>108029</v>
          </cell>
          <cell r="C18">
            <v>0</v>
          </cell>
          <cell r="D18">
            <v>108029</v>
          </cell>
        </row>
        <row r="19">
          <cell r="A19" t="str">
            <v>Australian Digital Health Agency</v>
          </cell>
          <cell r="B19">
            <v>1754692</v>
          </cell>
          <cell r="C19">
            <v>683927</v>
          </cell>
          <cell r="D19">
            <v>1070765</v>
          </cell>
        </row>
        <row r="20">
          <cell r="A20" t="str">
            <v>Australian Electoral Commission</v>
          </cell>
          <cell r="B20">
            <v>6210916</v>
          </cell>
          <cell r="C20">
            <v>2889949</v>
          </cell>
          <cell r="D20">
            <v>3320967</v>
          </cell>
        </row>
        <row r="21">
          <cell r="A21" t="str">
            <v>Australian Federal Police</v>
          </cell>
          <cell r="B21">
            <v>37654843</v>
          </cell>
          <cell r="C21">
            <v>28430628</v>
          </cell>
          <cell r="D21">
            <v>9224215</v>
          </cell>
        </row>
        <row r="22">
          <cell r="A22" t="str">
            <v>Australian Film, Television and Radio School</v>
          </cell>
          <cell r="B22">
            <v>60885</v>
          </cell>
          <cell r="C22">
            <v>0</v>
          </cell>
          <cell r="D22">
            <v>60885</v>
          </cell>
        </row>
        <row r="23">
          <cell r="A23" t="str">
            <v>Australian Financial Security Authority</v>
          </cell>
          <cell r="B23">
            <v>3164655</v>
          </cell>
          <cell r="C23">
            <v>1609546</v>
          </cell>
          <cell r="D23">
            <v>1555109</v>
          </cell>
        </row>
        <row r="24">
          <cell r="A24" t="str">
            <v>Australian Fisheries Management Authority</v>
          </cell>
          <cell r="B24">
            <v>764312</v>
          </cell>
          <cell r="C24">
            <v>614034</v>
          </cell>
          <cell r="D24">
            <v>150278</v>
          </cell>
        </row>
        <row r="25">
          <cell r="A25" t="str">
            <v>Australian Hearing Services</v>
          </cell>
          <cell r="B25">
            <v>701766</v>
          </cell>
          <cell r="C25">
            <v>441786</v>
          </cell>
          <cell r="D25">
            <v>259980</v>
          </cell>
        </row>
        <row r="26">
          <cell r="A26" t="str">
            <v>Australian Human Rights Commission</v>
          </cell>
          <cell r="B26">
            <v>1647967</v>
          </cell>
          <cell r="C26">
            <v>1646387</v>
          </cell>
          <cell r="D26">
            <v>1580</v>
          </cell>
        </row>
        <row r="27">
          <cell r="A27" t="str">
            <v>Australian Institute of Aboriginal and Torres Strait Islander Studies</v>
          </cell>
          <cell r="B27">
            <v>130523</v>
          </cell>
          <cell r="C27">
            <v>0</v>
          </cell>
          <cell r="D27">
            <v>130523</v>
          </cell>
        </row>
        <row r="28">
          <cell r="A28" t="str">
            <v>Australian Institute of Criminology</v>
          </cell>
          <cell r="B28">
            <v>17225</v>
          </cell>
          <cell r="C28">
            <v>0</v>
          </cell>
          <cell r="D28">
            <v>17225</v>
          </cell>
        </row>
        <row r="29">
          <cell r="A29" t="str">
            <v>Australian Institute of Family Studies</v>
          </cell>
          <cell r="B29">
            <v>70807</v>
          </cell>
          <cell r="C29">
            <v>0</v>
          </cell>
          <cell r="D29">
            <v>70807</v>
          </cell>
        </row>
        <row r="30">
          <cell r="A30" t="str">
            <v>Australian Institute of Health and Welfare</v>
          </cell>
          <cell r="B30">
            <v>288139</v>
          </cell>
          <cell r="C30">
            <v>155248</v>
          </cell>
          <cell r="D30">
            <v>132891</v>
          </cell>
        </row>
        <row r="31">
          <cell r="A31" t="str">
            <v>Australian Institute of Marine Science</v>
          </cell>
          <cell r="B31">
            <v>955509</v>
          </cell>
          <cell r="C31">
            <v>909965</v>
          </cell>
          <cell r="D31">
            <v>45544</v>
          </cell>
        </row>
        <row r="32">
          <cell r="A32" t="str">
            <v>Australian Law Reform Commission</v>
          </cell>
          <cell r="B32">
            <v>0</v>
          </cell>
          <cell r="C32">
            <v>0</v>
          </cell>
          <cell r="D32">
            <v>0</v>
          </cell>
        </row>
        <row r="33">
          <cell r="A33" t="str">
            <v>Australian Maritime Safety Authority</v>
          </cell>
          <cell r="B33">
            <v>1802091</v>
          </cell>
          <cell r="C33">
            <v>1690409</v>
          </cell>
          <cell r="D33">
            <v>111682</v>
          </cell>
        </row>
        <row r="34">
          <cell r="A34" t="str">
            <v>Australian Military Forces Relief Trust Fund</v>
          </cell>
          <cell r="B34">
            <v>0</v>
          </cell>
          <cell r="C34">
            <v>0</v>
          </cell>
          <cell r="D34">
            <v>0</v>
          </cell>
        </row>
        <row r="35">
          <cell r="A35" t="str">
            <v>Australian National Audit Office</v>
          </cell>
          <cell r="B35">
            <v>300312</v>
          </cell>
          <cell r="C35">
            <v>199115</v>
          </cell>
          <cell r="D35">
            <v>101197</v>
          </cell>
        </row>
        <row r="36">
          <cell r="A36" t="str">
            <v>Australian National Maritime Museum</v>
          </cell>
          <cell r="B36">
            <v>138677</v>
          </cell>
          <cell r="C36">
            <v>0</v>
          </cell>
          <cell r="D36">
            <v>138677</v>
          </cell>
        </row>
        <row r="37">
          <cell r="A37" t="str">
            <v>Australian Nuclear Science and Technology Organisation</v>
          </cell>
          <cell r="B37">
            <v>3835772</v>
          </cell>
          <cell r="C37">
            <v>1114300</v>
          </cell>
          <cell r="D37">
            <v>2721472</v>
          </cell>
        </row>
        <row r="38">
          <cell r="A38" t="str">
            <v>Australian Office of Financial Management</v>
          </cell>
          <cell r="B38">
            <v>76115</v>
          </cell>
          <cell r="C38">
            <v>0</v>
          </cell>
          <cell r="D38">
            <v>76115</v>
          </cell>
        </row>
        <row r="39">
          <cell r="A39" t="str">
            <v>Australian Pesticides and Veterinary Medicines Authority</v>
          </cell>
          <cell r="B39">
            <v>1745704</v>
          </cell>
          <cell r="C39">
            <v>416855</v>
          </cell>
          <cell r="D39">
            <v>1328849</v>
          </cell>
        </row>
        <row r="40">
          <cell r="A40" t="str">
            <v>Australian Prudential Regulation Authority</v>
          </cell>
          <cell r="B40">
            <v>13116201</v>
          </cell>
          <cell r="C40">
            <v>10601143</v>
          </cell>
          <cell r="D40">
            <v>2515058</v>
          </cell>
        </row>
        <row r="41">
          <cell r="A41" t="str">
            <v>Australian Public Service Commission</v>
          </cell>
          <cell r="B41">
            <v>1140547</v>
          </cell>
          <cell r="C41">
            <v>781445</v>
          </cell>
          <cell r="D41">
            <v>359102</v>
          </cell>
        </row>
        <row r="42">
          <cell r="A42" t="str">
            <v>Australian Radiation Protection and Nuclear Safety Agency</v>
          </cell>
          <cell r="B42">
            <v>453278</v>
          </cell>
          <cell r="C42">
            <v>453278</v>
          </cell>
          <cell r="D42">
            <v>0</v>
          </cell>
        </row>
        <row r="43">
          <cell r="A43" t="str">
            <v>Australian Reinsurance Pool Corporation</v>
          </cell>
          <cell r="B43">
            <v>294411</v>
          </cell>
          <cell r="C43">
            <v>0</v>
          </cell>
          <cell r="D43">
            <v>294411</v>
          </cell>
        </row>
        <row r="44">
          <cell r="A44" t="str">
            <v>Australian Renewable Energy Agency</v>
          </cell>
          <cell r="B44">
            <v>1252261</v>
          </cell>
          <cell r="C44">
            <v>0</v>
          </cell>
          <cell r="D44">
            <v>1252261</v>
          </cell>
        </row>
        <row r="45">
          <cell r="A45" t="str">
            <v>Australian Research Council</v>
          </cell>
          <cell r="B45">
            <v>176487</v>
          </cell>
          <cell r="C45">
            <v>145895</v>
          </cell>
          <cell r="D45">
            <v>30592</v>
          </cell>
        </row>
        <row r="46">
          <cell r="A46" t="str">
            <v>Australian Securities and Investments Commission</v>
          </cell>
          <cell r="B46">
            <v>85208232</v>
          </cell>
          <cell r="C46">
            <v>43642505</v>
          </cell>
          <cell r="D46">
            <v>41565727</v>
          </cell>
        </row>
        <row r="47">
          <cell r="A47" t="str">
            <v>Australian Skills Quality Authority</v>
          </cell>
          <cell r="B47">
            <v>1518629</v>
          </cell>
          <cell r="C47">
            <v>954000</v>
          </cell>
          <cell r="D47">
            <v>564629</v>
          </cell>
        </row>
        <row r="48">
          <cell r="A48" t="str">
            <v>Australian Sports Commission</v>
          </cell>
          <cell r="B48">
            <v>1031015</v>
          </cell>
          <cell r="C48">
            <v>398074</v>
          </cell>
          <cell r="D48">
            <v>632941</v>
          </cell>
        </row>
        <row r="49">
          <cell r="A49" t="str">
            <v>Australian Taxation Office</v>
          </cell>
          <cell r="B49">
            <v>92021889</v>
          </cell>
          <cell r="C49">
            <v>38671163</v>
          </cell>
          <cell r="D49">
            <v>53350726</v>
          </cell>
        </row>
        <row r="50">
          <cell r="A50" t="str">
            <v>Australian Trade and Investment Commission (Austrade)</v>
          </cell>
          <cell r="B50">
            <v>2251681</v>
          </cell>
          <cell r="C50">
            <v>1138375</v>
          </cell>
          <cell r="D50">
            <v>1113306</v>
          </cell>
        </row>
        <row r="51">
          <cell r="A51" t="str">
            <v>Australian Transaction Reports and Analysis Centre</v>
          </cell>
          <cell r="B51">
            <v>5923211</v>
          </cell>
          <cell r="C51">
            <v>1665982</v>
          </cell>
          <cell r="D51">
            <v>4257229</v>
          </cell>
        </row>
        <row r="52">
          <cell r="A52" t="str">
            <v>Australian Transport Safety Bureau</v>
          </cell>
          <cell r="B52">
            <v>261297</v>
          </cell>
          <cell r="C52">
            <v>240314</v>
          </cell>
          <cell r="D52">
            <v>20983</v>
          </cell>
        </row>
        <row r="53">
          <cell r="A53" t="str">
            <v>Australian War Memorial</v>
          </cell>
          <cell r="B53">
            <v>164514</v>
          </cell>
          <cell r="C53">
            <v>0</v>
          </cell>
          <cell r="D53">
            <v>164514</v>
          </cell>
        </row>
        <row r="54">
          <cell r="A54" t="str">
            <v>Bureau of Meteorology</v>
          </cell>
          <cell r="B54">
            <v>2041620</v>
          </cell>
          <cell r="C54">
            <v>1132680</v>
          </cell>
          <cell r="D54">
            <v>908940</v>
          </cell>
        </row>
        <row r="55">
          <cell r="A55" t="str">
            <v>Cancer Australia</v>
          </cell>
          <cell r="B55">
            <v>24398</v>
          </cell>
          <cell r="C55">
            <v>0</v>
          </cell>
          <cell r="D55">
            <v>24398</v>
          </cell>
        </row>
        <row r="56">
          <cell r="A56" t="str">
            <v>Central Land Council</v>
          </cell>
          <cell r="B56">
            <v>2221185</v>
          </cell>
          <cell r="C56">
            <v>2108692</v>
          </cell>
          <cell r="D56">
            <v>112493</v>
          </cell>
        </row>
        <row r="57">
          <cell r="A57" t="str">
            <v>Civil Aviation Safety Authority</v>
          </cell>
          <cell r="B57">
            <v>5973391</v>
          </cell>
          <cell r="C57">
            <v>5715152</v>
          </cell>
          <cell r="D57">
            <v>258239</v>
          </cell>
        </row>
        <row r="58">
          <cell r="A58" t="str">
            <v>Clean Energy Finance Corporation</v>
          </cell>
          <cell r="B58">
            <v>4382272</v>
          </cell>
          <cell r="C58">
            <v>3328352</v>
          </cell>
          <cell r="D58">
            <v>1053920</v>
          </cell>
        </row>
        <row r="59">
          <cell r="A59" t="str">
            <v>Clean Energy Regulator</v>
          </cell>
          <cell r="B59">
            <v>2445687</v>
          </cell>
          <cell r="C59">
            <v>1614402</v>
          </cell>
          <cell r="D59">
            <v>831285</v>
          </cell>
        </row>
        <row r="60">
          <cell r="A60" t="str">
            <v>Climate Change Authority</v>
          </cell>
          <cell r="B60">
            <v>17600</v>
          </cell>
          <cell r="C60">
            <v>0</v>
          </cell>
          <cell r="D60">
            <v>17600</v>
          </cell>
        </row>
        <row r="61">
          <cell r="A61" t="str">
            <v>Coal Mining Industry (Long Service Leave Funding) Corporation</v>
          </cell>
          <cell r="B61">
            <v>2766196</v>
          </cell>
          <cell r="C61">
            <v>1999051</v>
          </cell>
          <cell r="D61">
            <v>767145</v>
          </cell>
        </row>
        <row r="62">
          <cell r="A62" t="str">
            <v>Comcare</v>
          </cell>
          <cell r="B62">
            <v>22367363</v>
          </cell>
          <cell r="C62">
            <v>10014307</v>
          </cell>
          <cell r="D62">
            <v>12353056</v>
          </cell>
        </row>
        <row r="63">
          <cell r="A63" t="str">
            <v>Commonwealth Grants Commission</v>
          </cell>
          <cell r="B63">
            <v>30334</v>
          </cell>
          <cell r="C63">
            <v>0</v>
          </cell>
          <cell r="D63">
            <v>30334</v>
          </cell>
        </row>
        <row r="64">
          <cell r="A64" t="str">
            <v>Commonwealth Scientific and Industrial Research Organisation</v>
          </cell>
          <cell r="B64">
            <v>8184346</v>
          </cell>
          <cell r="C64">
            <v>6722674</v>
          </cell>
          <cell r="D64">
            <v>1461672</v>
          </cell>
        </row>
        <row r="65">
          <cell r="A65" t="str">
            <v>Commonwealth Superannuation Corporation</v>
          </cell>
          <cell r="B65">
            <v>4404176</v>
          </cell>
          <cell r="C65">
            <v>2867346</v>
          </cell>
          <cell r="D65">
            <v>1536830</v>
          </cell>
        </row>
        <row r="66">
          <cell r="A66" t="str">
            <v>Cotton Research and Development Corporation</v>
          </cell>
          <cell r="B66">
            <v>87257</v>
          </cell>
          <cell r="C66">
            <v>0</v>
          </cell>
          <cell r="D66">
            <v>87257</v>
          </cell>
        </row>
        <row r="67">
          <cell r="A67" t="str">
            <v>Department of Agriculture, Water and the Environment</v>
          </cell>
          <cell r="B67">
            <v>30435361</v>
          </cell>
          <cell r="C67">
            <v>11865210</v>
          </cell>
          <cell r="D67">
            <v>18570151</v>
          </cell>
        </row>
        <row r="68">
          <cell r="A68" t="str">
            <v>Department of Defence</v>
          </cell>
          <cell r="B68">
            <v>146385044</v>
          </cell>
          <cell r="C68">
            <v>67712932</v>
          </cell>
          <cell r="D68">
            <v>78672112</v>
          </cell>
        </row>
        <row r="69">
          <cell r="A69" t="str">
            <v>Department of Education, Skills and Employment</v>
          </cell>
          <cell r="B69">
            <v>21475554</v>
          </cell>
          <cell r="C69">
            <v>13427022</v>
          </cell>
          <cell r="D69">
            <v>8048532</v>
          </cell>
        </row>
        <row r="70">
          <cell r="A70" t="str">
            <v>Department of Finance</v>
          </cell>
          <cell r="B70">
            <v>41680431</v>
          </cell>
          <cell r="C70">
            <v>1963594</v>
          </cell>
          <cell r="D70">
            <v>39716837</v>
          </cell>
        </row>
        <row r="71">
          <cell r="A71" t="str">
            <v>Department of Foreign Affairs and Trade</v>
          </cell>
          <cell r="B71">
            <v>34439114</v>
          </cell>
          <cell r="C71">
            <v>19243258</v>
          </cell>
          <cell r="D71">
            <v>15195856</v>
          </cell>
        </row>
        <row r="72">
          <cell r="A72" t="str">
            <v>Department of Health</v>
          </cell>
          <cell r="B72">
            <v>39269275</v>
          </cell>
          <cell r="C72">
            <v>18889546</v>
          </cell>
          <cell r="D72">
            <v>20379729</v>
          </cell>
        </row>
        <row r="73">
          <cell r="A73" t="str">
            <v>Department of Home Affairs</v>
          </cell>
          <cell r="B73">
            <v>103456003</v>
          </cell>
          <cell r="C73">
            <v>39490063</v>
          </cell>
          <cell r="D73">
            <v>63965940</v>
          </cell>
        </row>
        <row r="74">
          <cell r="A74" t="str">
            <v>Department of Industry, Science, Energy and Resources</v>
          </cell>
          <cell r="B74">
            <v>26472800</v>
          </cell>
          <cell r="C74">
            <v>8366278</v>
          </cell>
          <cell r="D74">
            <v>18106522</v>
          </cell>
        </row>
        <row r="75">
          <cell r="A75" t="str">
            <v>Department of Infrastructure, Transport, Regional Development and Communications</v>
          </cell>
          <cell r="B75">
            <v>8695672</v>
          </cell>
          <cell r="C75">
            <v>3896000</v>
          </cell>
          <cell r="D75">
            <v>4799672</v>
          </cell>
        </row>
        <row r="76">
          <cell r="A76" t="str">
            <v>Department of Parliamentary Services</v>
          </cell>
          <cell r="B76">
            <v>1066862</v>
          </cell>
          <cell r="C76">
            <v>833948</v>
          </cell>
          <cell r="D76">
            <v>232914</v>
          </cell>
        </row>
        <row r="77">
          <cell r="A77" t="str">
            <v>Department of Social Services</v>
          </cell>
          <cell r="B77">
            <v>13363746</v>
          </cell>
          <cell r="C77">
            <v>6625481</v>
          </cell>
          <cell r="D77">
            <v>6738265</v>
          </cell>
        </row>
        <row r="78">
          <cell r="A78" t="str">
            <v>Department of the House of Representatives</v>
          </cell>
          <cell r="B78">
            <v>111285</v>
          </cell>
          <cell r="C78">
            <v>0</v>
          </cell>
          <cell r="D78">
            <v>111285</v>
          </cell>
        </row>
        <row r="79">
          <cell r="A79" t="str">
            <v>Department of the Prime Minister and Cabinet</v>
          </cell>
          <cell r="B79">
            <v>2053150</v>
          </cell>
          <cell r="C79">
            <v>413879</v>
          </cell>
          <cell r="D79">
            <v>1639271</v>
          </cell>
        </row>
        <row r="80">
          <cell r="A80" t="str">
            <v>Department of the Senate</v>
          </cell>
          <cell r="B80">
            <v>0</v>
          </cell>
          <cell r="C80">
            <v>0</v>
          </cell>
          <cell r="D80">
            <v>0</v>
          </cell>
        </row>
        <row r="81">
          <cell r="A81" t="str">
            <v>Department of the Treasury</v>
          </cell>
          <cell r="B81">
            <v>8683107</v>
          </cell>
          <cell r="C81">
            <v>4483353</v>
          </cell>
          <cell r="D81">
            <v>4199754</v>
          </cell>
        </row>
        <row r="82">
          <cell r="A82" t="str">
            <v>Department of Veterans' Affairs</v>
          </cell>
          <cell r="B82">
            <v>19070177</v>
          </cell>
          <cell r="C82">
            <v>7777745</v>
          </cell>
          <cell r="D82">
            <v>11292432</v>
          </cell>
        </row>
        <row r="83">
          <cell r="A83" t="str">
            <v>Digital Transformation Agency</v>
          </cell>
          <cell r="B83">
            <v>2699923</v>
          </cell>
          <cell r="C83">
            <v>204097</v>
          </cell>
          <cell r="D83">
            <v>2495826</v>
          </cell>
        </row>
        <row r="84">
          <cell r="A84" t="str">
            <v>Director of National Parks</v>
          </cell>
          <cell r="B84">
            <v>1686733</v>
          </cell>
          <cell r="C84">
            <v>805896</v>
          </cell>
          <cell r="D84">
            <v>880837</v>
          </cell>
        </row>
        <row r="85">
          <cell r="A85" t="str">
            <v>Export Finance and Insurance Corporation (Export Finance Australia)</v>
          </cell>
          <cell r="B85">
            <v>8932341</v>
          </cell>
          <cell r="C85">
            <v>1682057</v>
          </cell>
          <cell r="D85">
            <v>7250284</v>
          </cell>
        </row>
        <row r="86">
          <cell r="A86" t="str">
            <v>Fair Work Commission</v>
          </cell>
          <cell r="B86">
            <v>1311221</v>
          </cell>
          <cell r="C86">
            <v>1188994</v>
          </cell>
          <cell r="D86">
            <v>122227</v>
          </cell>
        </row>
        <row r="87">
          <cell r="A87" t="str">
            <v>Fair Work Ombudsman and Registered Organisations Commission Entity</v>
          </cell>
          <cell r="B87">
            <v>26982498</v>
          </cell>
          <cell r="C87">
            <v>12486256</v>
          </cell>
          <cell r="D87">
            <v>14496242</v>
          </cell>
        </row>
        <row r="88">
          <cell r="A88" t="str">
            <v>Federal Court of Australia</v>
          </cell>
          <cell r="B88">
            <v>652314</v>
          </cell>
          <cell r="C88">
            <v>0</v>
          </cell>
          <cell r="D88">
            <v>652314</v>
          </cell>
        </row>
        <row r="89">
          <cell r="A89" t="str">
            <v>Fisheries Research and Development Corporation</v>
          </cell>
          <cell r="B89">
            <v>34192</v>
          </cell>
          <cell r="C89">
            <v>0</v>
          </cell>
          <cell r="D89">
            <v>34192</v>
          </cell>
        </row>
        <row r="90">
          <cell r="A90" t="str">
            <v>Food Standards Australia New Zealand</v>
          </cell>
          <cell r="B90">
            <v>1218272</v>
          </cell>
          <cell r="C90">
            <v>991523</v>
          </cell>
          <cell r="D90">
            <v>226749</v>
          </cell>
        </row>
        <row r="91">
          <cell r="A91" t="str">
            <v>Future Fund Management Agency</v>
          </cell>
          <cell r="B91">
            <v>3683135</v>
          </cell>
          <cell r="C91">
            <v>3035419</v>
          </cell>
          <cell r="D91">
            <v>647716</v>
          </cell>
        </row>
        <row r="92">
          <cell r="A92" t="str">
            <v>Geoscience Australia</v>
          </cell>
          <cell r="B92">
            <v>1372692</v>
          </cell>
          <cell r="C92">
            <v>223876</v>
          </cell>
          <cell r="D92">
            <v>1148816</v>
          </cell>
        </row>
        <row r="93">
          <cell r="A93" t="str">
            <v>Grains Research and Development Corporation</v>
          </cell>
          <cell r="B93">
            <v>788907</v>
          </cell>
          <cell r="C93">
            <v>450865</v>
          </cell>
          <cell r="D93">
            <v>338042</v>
          </cell>
        </row>
        <row r="94">
          <cell r="A94" t="str">
            <v>Great Barrier Reef Marine Park Authority</v>
          </cell>
          <cell r="B94">
            <v>1413417</v>
          </cell>
          <cell r="C94">
            <v>1020380</v>
          </cell>
          <cell r="D94">
            <v>393037</v>
          </cell>
        </row>
        <row r="95">
          <cell r="A95" t="str">
            <v>Independent Hospital Pricing Authority</v>
          </cell>
          <cell r="B95">
            <v>183737</v>
          </cell>
          <cell r="C95">
            <v>85000</v>
          </cell>
          <cell r="D95">
            <v>98737</v>
          </cell>
        </row>
        <row r="96">
          <cell r="A96" t="str">
            <v>Independent Parliamentary Expenses Authority</v>
          </cell>
          <cell r="B96">
            <v>500233</v>
          </cell>
          <cell r="C96">
            <v>106615</v>
          </cell>
          <cell r="D96">
            <v>393618</v>
          </cell>
        </row>
        <row r="97">
          <cell r="A97" t="str">
            <v>Indigenous Business Australia</v>
          </cell>
          <cell r="B97">
            <v>2062134</v>
          </cell>
          <cell r="C97">
            <v>1625792</v>
          </cell>
          <cell r="D97">
            <v>436342</v>
          </cell>
        </row>
        <row r="98">
          <cell r="A98" t="str">
            <v>Indigenous Land and Sea Corporation</v>
          </cell>
          <cell r="B98">
            <v>1231232</v>
          </cell>
          <cell r="C98">
            <v>681848</v>
          </cell>
          <cell r="D98">
            <v>549384</v>
          </cell>
        </row>
        <row r="99">
          <cell r="A99" t="str">
            <v>Infrastructure Australia</v>
          </cell>
          <cell r="B99">
            <v>189024</v>
          </cell>
          <cell r="C99">
            <v>176218</v>
          </cell>
          <cell r="D99">
            <v>12806</v>
          </cell>
        </row>
        <row r="100">
          <cell r="A100" t="str">
            <v>Inspector-General of Taxation</v>
          </cell>
          <cell r="B100">
            <v>59667</v>
          </cell>
          <cell r="C100">
            <v>0</v>
          </cell>
          <cell r="D100">
            <v>59667</v>
          </cell>
        </row>
        <row r="101">
          <cell r="A101" t="str">
            <v>IP Australia</v>
          </cell>
          <cell r="B101">
            <v>2319862</v>
          </cell>
          <cell r="C101">
            <v>1056853</v>
          </cell>
          <cell r="D101">
            <v>1263009</v>
          </cell>
        </row>
        <row r="102">
          <cell r="A102" t="str">
            <v>Murray-Darling Basin Authority</v>
          </cell>
          <cell r="B102">
            <v>1429222</v>
          </cell>
          <cell r="C102">
            <v>1086682</v>
          </cell>
          <cell r="D102">
            <v>342540</v>
          </cell>
        </row>
        <row r="103">
          <cell r="A103" t="str">
            <v>National Archives of Australia</v>
          </cell>
          <cell r="B103">
            <v>519548</v>
          </cell>
          <cell r="C103">
            <v>0</v>
          </cell>
          <cell r="D103">
            <v>519548</v>
          </cell>
        </row>
        <row r="104">
          <cell r="A104" t="str">
            <v>National Blood Authority</v>
          </cell>
          <cell r="B104">
            <v>408616</v>
          </cell>
          <cell r="C104">
            <v>0</v>
          </cell>
          <cell r="D104">
            <v>408616</v>
          </cell>
        </row>
        <row r="105">
          <cell r="A105" t="str">
            <v>National Capital Authority</v>
          </cell>
          <cell r="B105">
            <v>1256485</v>
          </cell>
          <cell r="C105">
            <v>181453</v>
          </cell>
          <cell r="D105">
            <v>1075032</v>
          </cell>
        </row>
        <row r="106">
          <cell r="A106" t="str">
            <v>National Competition Council</v>
          </cell>
          <cell r="B106">
            <v>70592</v>
          </cell>
          <cell r="C106">
            <v>60289</v>
          </cell>
          <cell r="D106">
            <v>10303</v>
          </cell>
        </row>
        <row r="107">
          <cell r="A107" t="str">
            <v>National Disability Insurance Agency</v>
          </cell>
          <cell r="B107">
            <v>66887314</v>
          </cell>
          <cell r="C107">
            <v>7472904</v>
          </cell>
          <cell r="D107">
            <v>59414410</v>
          </cell>
        </row>
        <row r="108">
          <cell r="A108" t="str">
            <v>National Faster Rail Agency</v>
          </cell>
          <cell r="B108">
            <v>2486</v>
          </cell>
          <cell r="C108">
            <v>0</v>
          </cell>
          <cell r="D108">
            <v>2486</v>
          </cell>
        </row>
        <row r="109">
          <cell r="A109" t="str">
            <v>National Film and Sound Archive of Australia</v>
          </cell>
          <cell r="B109">
            <v>122953</v>
          </cell>
          <cell r="C109">
            <v>86779</v>
          </cell>
          <cell r="D109">
            <v>36174</v>
          </cell>
        </row>
        <row r="110">
          <cell r="A110" t="str">
            <v>National Gallery of Australia</v>
          </cell>
          <cell r="B110">
            <v>285436</v>
          </cell>
          <cell r="C110">
            <v>120390</v>
          </cell>
          <cell r="D110">
            <v>165046</v>
          </cell>
        </row>
        <row r="111">
          <cell r="A111" t="str">
            <v>National Health and Medical Research Council</v>
          </cell>
          <cell r="B111">
            <v>385184</v>
          </cell>
          <cell r="C111">
            <v>291709</v>
          </cell>
          <cell r="D111">
            <v>93475</v>
          </cell>
        </row>
        <row r="112">
          <cell r="A112" t="str">
            <v>National Health Funding Body</v>
          </cell>
          <cell r="B112">
            <v>8479</v>
          </cell>
          <cell r="C112">
            <v>1911</v>
          </cell>
          <cell r="D112">
            <v>6568</v>
          </cell>
        </row>
        <row r="113">
          <cell r="A113" t="str">
            <v>National Housing Finance and Investment Corporation</v>
          </cell>
          <cell r="B113">
            <v>1320958</v>
          </cell>
          <cell r="C113">
            <v>909534</v>
          </cell>
          <cell r="D113">
            <v>411424</v>
          </cell>
        </row>
        <row r="114">
          <cell r="A114" t="str">
            <v>National Indigenous Australians Agency</v>
          </cell>
          <cell r="B114">
            <v>9086255</v>
          </cell>
          <cell r="C114">
            <v>5281450</v>
          </cell>
          <cell r="D114">
            <v>3804805</v>
          </cell>
        </row>
        <row r="115">
          <cell r="A115" t="str">
            <v>National Library of Australia</v>
          </cell>
          <cell r="B115">
            <v>264597</v>
          </cell>
          <cell r="C115">
            <v>180572</v>
          </cell>
          <cell r="D115">
            <v>84025</v>
          </cell>
        </row>
        <row r="116">
          <cell r="A116" t="str">
            <v>National Mental Health Commission</v>
          </cell>
          <cell r="B116">
            <v>98600</v>
          </cell>
          <cell r="C116">
            <v>0</v>
          </cell>
          <cell r="D116">
            <v>98600</v>
          </cell>
        </row>
        <row r="117">
          <cell r="A117" t="str">
            <v>National Museum of Australia</v>
          </cell>
          <cell r="B117">
            <v>196373</v>
          </cell>
          <cell r="C117">
            <v>170964</v>
          </cell>
          <cell r="D117">
            <v>25409</v>
          </cell>
        </row>
        <row r="118">
          <cell r="A118" t="str">
            <v>National Offshore Petroleum Safety and Environmental Management Authority</v>
          </cell>
          <cell r="B118">
            <v>1203526</v>
          </cell>
          <cell r="C118">
            <v>983831</v>
          </cell>
          <cell r="D118">
            <v>219695</v>
          </cell>
        </row>
        <row r="119">
          <cell r="A119" t="str">
            <v>National Portrait Gallery of Australia</v>
          </cell>
          <cell r="B119">
            <v>984</v>
          </cell>
          <cell r="C119">
            <v>0</v>
          </cell>
          <cell r="D119">
            <v>984</v>
          </cell>
        </row>
        <row r="120">
          <cell r="A120" t="str">
            <v>National Recovery and Resilience Agency</v>
          </cell>
          <cell r="B120">
            <v>671755</v>
          </cell>
          <cell r="C120">
            <v>308905</v>
          </cell>
          <cell r="D120">
            <v>362850</v>
          </cell>
        </row>
        <row r="121">
          <cell r="A121" t="str">
            <v>National Transport Commission</v>
          </cell>
          <cell r="B121">
            <v>129332</v>
          </cell>
          <cell r="C121">
            <v>62668</v>
          </cell>
          <cell r="D121">
            <v>66664</v>
          </cell>
        </row>
        <row r="122">
          <cell r="A122" t="str">
            <v>NDIS Quality and Safeguards Commission</v>
          </cell>
          <cell r="B122">
            <v>2830786</v>
          </cell>
          <cell r="C122">
            <v>2296927</v>
          </cell>
          <cell r="D122">
            <v>533859</v>
          </cell>
        </row>
        <row r="123">
          <cell r="A123" t="str">
            <v>North Queensland Water Infrastructure Authority</v>
          </cell>
          <cell r="B123">
            <v>2487</v>
          </cell>
          <cell r="C123">
            <v>0</v>
          </cell>
          <cell r="D123">
            <v>2487</v>
          </cell>
        </row>
        <row r="124">
          <cell r="A124" t="str">
            <v>Northern Australia Infrastructure Facility</v>
          </cell>
          <cell r="B124">
            <v>1514343</v>
          </cell>
          <cell r="C124">
            <v>724811</v>
          </cell>
          <cell r="D124">
            <v>789532</v>
          </cell>
        </row>
        <row r="125">
          <cell r="A125" t="str">
            <v>Northern Land Council</v>
          </cell>
          <cell r="B125">
            <v>8441765</v>
          </cell>
          <cell r="C125">
            <v>5669178</v>
          </cell>
          <cell r="D125">
            <v>2772587</v>
          </cell>
        </row>
        <row r="126">
          <cell r="A126" t="str">
            <v>Office of Parliamentary Counsel</v>
          </cell>
          <cell r="B126">
            <v>75601</v>
          </cell>
          <cell r="C126">
            <v>0</v>
          </cell>
          <cell r="D126">
            <v>75601</v>
          </cell>
        </row>
        <row r="127">
          <cell r="A127" t="str">
            <v>Office of the Auditing and Assurance Standards Board</v>
          </cell>
          <cell r="B127">
            <v>15667</v>
          </cell>
          <cell r="C127">
            <v>0</v>
          </cell>
          <cell r="D127">
            <v>15667</v>
          </cell>
        </row>
        <row r="128">
          <cell r="A128" t="str">
            <v xml:space="preserve">Office of the Australian Accounting Standards Board </v>
          </cell>
          <cell r="B128">
            <v>27898</v>
          </cell>
          <cell r="C128">
            <v>0</v>
          </cell>
          <cell r="D128">
            <v>27898</v>
          </cell>
        </row>
        <row r="129">
          <cell r="A129" t="str">
            <v>Office of the Australian Information Commissioner</v>
          </cell>
          <cell r="B129">
            <v>2308702</v>
          </cell>
          <cell r="C129">
            <v>1276275</v>
          </cell>
          <cell r="D129">
            <v>1032427</v>
          </cell>
        </row>
        <row r="130">
          <cell r="A130" t="str">
            <v>Office of the Commonwealth Ombudsman</v>
          </cell>
          <cell r="B130">
            <v>930463</v>
          </cell>
          <cell r="C130">
            <v>785388</v>
          </cell>
          <cell r="D130">
            <v>145075</v>
          </cell>
        </row>
        <row r="131">
          <cell r="A131" t="str">
            <v>Office of the Director of Public Prosecutions</v>
          </cell>
          <cell r="B131">
            <v>25820</v>
          </cell>
          <cell r="C131">
            <v>0</v>
          </cell>
          <cell r="D131">
            <v>25820</v>
          </cell>
        </row>
        <row r="132">
          <cell r="A132" t="str">
            <v>Office of the Inspector-General of Intelligence and Security</v>
          </cell>
          <cell r="B132">
            <v>878548</v>
          </cell>
          <cell r="C132">
            <v>863219</v>
          </cell>
          <cell r="D132">
            <v>15329</v>
          </cell>
        </row>
        <row r="133">
          <cell r="A133" t="str">
            <v>Office of the Official Secretary to the Governor-General</v>
          </cell>
          <cell r="B133">
            <v>130692</v>
          </cell>
          <cell r="C133">
            <v>0</v>
          </cell>
          <cell r="D133">
            <v>130692</v>
          </cell>
        </row>
        <row r="134">
          <cell r="A134" t="str">
            <v>Office of the Special Investigator</v>
          </cell>
          <cell r="B134">
            <v>2663287</v>
          </cell>
          <cell r="C134">
            <v>0</v>
          </cell>
          <cell r="D134">
            <v>2663287</v>
          </cell>
        </row>
        <row r="135">
          <cell r="A135" t="str">
            <v>Old Parliament House</v>
          </cell>
          <cell r="B135">
            <v>25718</v>
          </cell>
          <cell r="C135">
            <v>0</v>
          </cell>
          <cell r="D135">
            <v>25718</v>
          </cell>
        </row>
        <row r="136">
          <cell r="A136" t="str">
            <v>Organ and Tissue Authority</v>
          </cell>
          <cell r="B136">
            <v>42038</v>
          </cell>
          <cell r="C136">
            <v>0</v>
          </cell>
          <cell r="D136">
            <v>42038</v>
          </cell>
        </row>
        <row r="137">
          <cell r="A137" t="str">
            <v>Parliamentary Budget Office</v>
          </cell>
          <cell r="B137">
            <v>7140</v>
          </cell>
          <cell r="C137">
            <v>0</v>
          </cell>
          <cell r="D137">
            <v>7140</v>
          </cell>
        </row>
        <row r="138">
          <cell r="A138" t="str">
            <v>Productivity Commission</v>
          </cell>
          <cell r="B138">
            <v>21418</v>
          </cell>
          <cell r="C138">
            <v>0</v>
          </cell>
          <cell r="D138">
            <v>21418</v>
          </cell>
        </row>
        <row r="139">
          <cell r="A139" t="str">
            <v>Professional Services Review</v>
          </cell>
          <cell r="B139">
            <v>4186342</v>
          </cell>
          <cell r="C139">
            <v>2507330</v>
          </cell>
          <cell r="D139">
            <v>1679012</v>
          </cell>
        </row>
        <row r="140">
          <cell r="A140" t="str">
            <v>Regional Investment Corporation</v>
          </cell>
          <cell r="B140">
            <v>828719</v>
          </cell>
          <cell r="C140">
            <v>0</v>
          </cell>
          <cell r="D140">
            <v>828719</v>
          </cell>
        </row>
        <row r="141">
          <cell r="A141" t="str">
            <v>Reserve Bank of Australia</v>
          </cell>
          <cell r="B141">
            <v>3803055</v>
          </cell>
          <cell r="C141">
            <v>2253778</v>
          </cell>
          <cell r="D141">
            <v>1549277</v>
          </cell>
        </row>
        <row r="142">
          <cell r="A142" t="str">
            <v>Royal Australian Air Force Veterans' Residences Trust Fund</v>
          </cell>
          <cell r="B142">
            <v>1062</v>
          </cell>
          <cell r="C142">
            <v>0</v>
          </cell>
          <cell r="D142">
            <v>1062</v>
          </cell>
        </row>
        <row r="143">
          <cell r="A143" t="str">
            <v>Royal Australian Air Force Welfare Trust Fund</v>
          </cell>
          <cell r="B143">
            <v>0</v>
          </cell>
          <cell r="C143">
            <v>0</v>
          </cell>
          <cell r="D143">
            <v>0</v>
          </cell>
        </row>
        <row r="144">
          <cell r="A144" t="str">
            <v>Royal Australian Mint</v>
          </cell>
          <cell r="B144">
            <v>308172</v>
          </cell>
          <cell r="C144">
            <v>125331</v>
          </cell>
          <cell r="D144">
            <v>182841</v>
          </cell>
        </row>
        <row r="145">
          <cell r="A145" t="str">
            <v>Royal Australian Navy Central Canteens Board</v>
          </cell>
          <cell r="B145">
            <v>180681</v>
          </cell>
          <cell r="C145">
            <v>0</v>
          </cell>
          <cell r="D145">
            <v>180681</v>
          </cell>
        </row>
        <row r="146">
          <cell r="A146" t="str">
            <v>Royal Australian Navy Relief Trust Fund</v>
          </cell>
          <cell r="B146">
            <v>0</v>
          </cell>
          <cell r="C146">
            <v>0</v>
          </cell>
          <cell r="D146">
            <v>0</v>
          </cell>
        </row>
        <row r="147">
          <cell r="A147" t="str">
            <v>Rural Industries Research and Development Corporation (AgriFutures Australia)</v>
          </cell>
          <cell r="B147">
            <v>230724</v>
          </cell>
          <cell r="C147">
            <v>89660</v>
          </cell>
          <cell r="D147">
            <v>141064</v>
          </cell>
        </row>
        <row r="148">
          <cell r="A148" t="str">
            <v>Safe Work Australia</v>
          </cell>
          <cell r="B148">
            <v>1257910</v>
          </cell>
          <cell r="C148">
            <v>1091898</v>
          </cell>
          <cell r="D148">
            <v>166012</v>
          </cell>
        </row>
        <row r="149">
          <cell r="A149" t="str">
            <v>Screen Australia</v>
          </cell>
          <cell r="B149">
            <v>1820094</v>
          </cell>
          <cell r="C149">
            <v>983229</v>
          </cell>
          <cell r="D149">
            <v>836865</v>
          </cell>
        </row>
        <row r="150">
          <cell r="A150" t="str">
            <v>Seafarers Safety, Rehabilitation and Compensation Authority (Seacare Authority)</v>
          </cell>
          <cell r="B150">
            <v>0</v>
          </cell>
          <cell r="C150">
            <v>0</v>
          </cell>
          <cell r="D150">
            <v>0</v>
          </cell>
        </row>
        <row r="151">
          <cell r="A151" t="str">
            <v>Services Australia</v>
          </cell>
          <cell r="B151">
            <v>41245325</v>
          </cell>
          <cell r="C151">
            <v>23083174</v>
          </cell>
          <cell r="D151">
            <v>18162151</v>
          </cell>
        </row>
        <row r="152">
          <cell r="A152" t="str">
            <v>Sport Integrity Australia</v>
          </cell>
          <cell r="B152">
            <v>1622420</v>
          </cell>
          <cell r="C152">
            <v>1027823</v>
          </cell>
          <cell r="D152">
            <v>594597</v>
          </cell>
        </row>
        <row r="153">
          <cell r="A153" t="str">
            <v>Sydney Harbour Federation Trust</v>
          </cell>
          <cell r="B153">
            <v>325243</v>
          </cell>
          <cell r="C153">
            <v>88333</v>
          </cell>
          <cell r="D153">
            <v>236910</v>
          </cell>
        </row>
        <row r="154">
          <cell r="A154" t="str">
            <v>Tertiary Education Quality and Standards Agency</v>
          </cell>
          <cell r="B154">
            <v>1148232</v>
          </cell>
          <cell r="C154">
            <v>695127</v>
          </cell>
          <cell r="D154">
            <v>453105</v>
          </cell>
        </row>
        <row r="155">
          <cell r="A155" t="str">
            <v>Tiwi Land Council</v>
          </cell>
          <cell r="B155">
            <v>269407</v>
          </cell>
          <cell r="C155">
            <v>203980</v>
          </cell>
          <cell r="D155">
            <v>65427</v>
          </cell>
        </row>
        <row r="156">
          <cell r="A156" t="str">
            <v>Torres Strait Regional Authority</v>
          </cell>
          <cell r="B156">
            <v>150390</v>
          </cell>
          <cell r="C156">
            <v>0</v>
          </cell>
          <cell r="D156">
            <v>150390</v>
          </cell>
        </row>
        <row r="157">
          <cell r="A157" t="str">
            <v>Tourism Australia</v>
          </cell>
          <cell r="B157">
            <v>1011899</v>
          </cell>
          <cell r="C157">
            <v>635852</v>
          </cell>
          <cell r="D157">
            <v>376047</v>
          </cell>
        </row>
        <row r="158">
          <cell r="A158" t="str">
            <v>Wine Australia</v>
          </cell>
          <cell r="B158">
            <v>241980</v>
          </cell>
          <cell r="C158">
            <v>100000</v>
          </cell>
          <cell r="D158">
            <v>141980</v>
          </cell>
        </row>
        <row r="159">
          <cell r="A159" t="str">
            <v>Workplace Gender Equality Agency</v>
          </cell>
          <cell r="B159">
            <v>3237</v>
          </cell>
          <cell r="C159">
            <v>0</v>
          </cell>
          <cell r="D159">
            <v>3237</v>
          </cell>
        </row>
        <row r="160">
          <cell r="A160" t="str">
            <v>Wreck Bay Aboriginal Community Council</v>
          </cell>
          <cell r="B160">
            <v>21458</v>
          </cell>
          <cell r="C160">
            <v>0</v>
          </cell>
          <cell r="D160">
            <v>21458</v>
          </cell>
        </row>
        <row r="161">
          <cell r="A161" t="str">
            <v>Total</v>
          </cell>
          <cell r="B161">
            <v>1185742862</v>
          </cell>
          <cell r="C161">
            <v>527480982</v>
          </cell>
          <cell r="D161">
            <v>658261880</v>
          </cell>
        </row>
      </sheetData>
      <sheetData sheetId="3">
        <row r="4">
          <cell r="A4" t="str">
            <v>Administrative Appeals Tribunal</v>
          </cell>
          <cell r="C4">
            <v>513.29946578299996</v>
          </cell>
        </row>
        <row r="5">
          <cell r="A5" t="str">
            <v>Aged Care Quality and Safety Commission</v>
          </cell>
          <cell r="C5">
            <v>2995.5326774893001</v>
          </cell>
        </row>
        <row r="6">
          <cell r="A6" t="str">
            <v>Asbestos Safety and Eradication Agency</v>
          </cell>
          <cell r="C6">
            <v>0</v>
          </cell>
        </row>
        <row r="7">
          <cell r="A7" t="str">
            <v>Attorney-General's Department</v>
          </cell>
          <cell r="B7" t="str">
            <v>MOG</v>
          </cell>
          <cell r="C7">
            <v>43560.848288867026</v>
          </cell>
        </row>
        <row r="8">
          <cell r="A8" t="str">
            <v>Australian Bureau of Statistics</v>
          </cell>
          <cell r="C8">
            <v>0</v>
          </cell>
        </row>
        <row r="9">
          <cell r="A9" t="str">
            <v>Australian Centre for International Agricultural Research</v>
          </cell>
          <cell r="C9">
            <v>0</v>
          </cell>
        </row>
        <row r="10">
          <cell r="A10" t="str">
            <v>Australian Commission for Law Enforcement Integrity</v>
          </cell>
          <cell r="C10">
            <v>0</v>
          </cell>
        </row>
        <row r="11">
          <cell r="A11" t="str">
            <v>Australian Communications and Media Authority</v>
          </cell>
          <cell r="C11">
            <v>0</v>
          </cell>
        </row>
        <row r="12">
          <cell r="A12" t="str">
            <v>Australian Competition and Consumer Commission</v>
          </cell>
          <cell r="C12">
            <v>2400.7303435596</v>
          </cell>
        </row>
        <row r="13">
          <cell r="A13" t="str">
            <v>Australian Criminal Intelligence Commission</v>
          </cell>
          <cell r="C13">
            <v>724.40114028360006</v>
          </cell>
        </row>
        <row r="14">
          <cell r="A14" t="str">
            <v>Australian Digital Health Agency</v>
          </cell>
          <cell r="C14">
            <v>3664.5916926333002</v>
          </cell>
        </row>
        <row r="15">
          <cell r="A15" t="str">
            <v>Australian Electoral Commission</v>
          </cell>
          <cell r="C15">
            <v>2183.5246351476999</v>
          </cell>
        </row>
        <row r="16">
          <cell r="A16" t="str">
            <v>Australian Federal Police</v>
          </cell>
          <cell r="C16">
            <v>8828.2780521584991</v>
          </cell>
        </row>
        <row r="17">
          <cell r="A17" t="str">
            <v>Australian Financial Security Authority</v>
          </cell>
          <cell r="C17">
            <v>6578.8265038002</v>
          </cell>
        </row>
        <row r="18">
          <cell r="A18" t="str">
            <v>Australian Fisheries Management Authority</v>
          </cell>
          <cell r="C18">
            <v>0</v>
          </cell>
        </row>
        <row r="19">
          <cell r="A19" t="str">
            <v>Australian Hearing Services</v>
          </cell>
          <cell r="C19">
            <v>1374.6878455167</v>
          </cell>
        </row>
        <row r="20">
          <cell r="A20" t="str">
            <v>Australian Institute of Criminology</v>
          </cell>
          <cell r="C20">
            <v>0</v>
          </cell>
        </row>
        <row r="21">
          <cell r="A21" t="str">
            <v>Australian Institute of Family Studies</v>
          </cell>
          <cell r="C21">
            <v>0</v>
          </cell>
        </row>
        <row r="22">
          <cell r="A22" t="str">
            <v>Australian Institute of Health and Welfare</v>
          </cell>
          <cell r="C22">
            <v>918.77801288988007</v>
          </cell>
        </row>
        <row r="23">
          <cell r="A23" t="str">
            <v>Australian Law Reform Commission</v>
          </cell>
          <cell r="C23">
            <v>0</v>
          </cell>
        </row>
        <row r="24">
          <cell r="A24" t="str">
            <v>Australian Maritime Safety Authority</v>
          </cell>
          <cell r="C24">
            <v>1299.9454354901302</v>
          </cell>
        </row>
        <row r="25">
          <cell r="A25" t="str">
            <v>Australian National Audit Office</v>
          </cell>
          <cell r="C25">
            <v>0</v>
          </cell>
        </row>
        <row r="26">
          <cell r="A26" t="str">
            <v>Australian Office of Financial Management</v>
          </cell>
          <cell r="C26">
            <v>2227.4535974977002</v>
          </cell>
        </row>
        <row r="27">
          <cell r="A27" t="str">
            <v>Australian Pesticides and Veterinary Medicines Authority</v>
          </cell>
          <cell r="C27">
            <v>1637.94533108778</v>
          </cell>
        </row>
        <row r="28">
          <cell r="A28" t="str">
            <v>Australian Prudential Regulation Authority</v>
          </cell>
          <cell r="C28">
            <v>4960.8600647891999</v>
          </cell>
        </row>
        <row r="29">
          <cell r="A29" t="str">
            <v>Australian Public Service Commission</v>
          </cell>
          <cell r="C29">
            <v>0</v>
          </cell>
        </row>
        <row r="30">
          <cell r="A30" t="str">
            <v>Australian Radiation Protection and Nuclear Safety Agency</v>
          </cell>
          <cell r="C30">
            <v>0</v>
          </cell>
        </row>
        <row r="31">
          <cell r="A31" t="str">
            <v>Australian Reinsurance Pool Corporation</v>
          </cell>
          <cell r="C31">
            <v>0</v>
          </cell>
        </row>
        <row r="32">
          <cell r="A32" t="str">
            <v>Australian Research Council</v>
          </cell>
          <cell r="C32">
            <v>0</v>
          </cell>
        </row>
        <row r="33">
          <cell r="A33" t="str">
            <v>Australian Securities and Investments Commission</v>
          </cell>
          <cell r="C33">
            <v>72378.592562516496</v>
          </cell>
        </row>
        <row r="34">
          <cell r="A34" t="str">
            <v>Australian Skills Quality Authority</v>
          </cell>
          <cell r="C34">
            <v>0</v>
          </cell>
        </row>
        <row r="35">
          <cell r="A35" t="str">
            <v>Australian Taxation Office</v>
          </cell>
          <cell r="C35">
            <v>33684.36</v>
          </cell>
        </row>
        <row r="36">
          <cell r="A36" t="str">
            <v>Australian Trade and Investment Commission (Austrade)</v>
          </cell>
          <cell r="C36">
            <v>2410.7126772898</v>
          </cell>
        </row>
        <row r="37">
          <cell r="A37" t="str">
            <v>Australian Transaction Reports and Analysis Centre</v>
          </cell>
          <cell r="C37">
            <v>572.06804998589996</v>
          </cell>
        </row>
        <row r="38">
          <cell r="A38" t="str">
            <v>Australian Transport Safety Bureau</v>
          </cell>
          <cell r="C38">
            <v>0</v>
          </cell>
        </row>
        <row r="39">
          <cell r="A39" t="str">
            <v>Australian War Memorial</v>
          </cell>
          <cell r="C39">
            <v>0</v>
          </cell>
        </row>
        <row r="40">
          <cell r="A40" t="str">
            <v>Bureau of Meteorology</v>
          </cell>
          <cell r="C40">
            <v>0</v>
          </cell>
        </row>
        <row r="41">
          <cell r="A41" t="str">
            <v>Cancer Australia</v>
          </cell>
          <cell r="C41">
            <v>0</v>
          </cell>
        </row>
        <row r="42">
          <cell r="A42" t="str">
            <v>Clean Energy Regulator</v>
          </cell>
          <cell r="C42">
            <v>1389.5483859231001</v>
          </cell>
        </row>
        <row r="43">
          <cell r="A43" t="str">
            <v>Climate Change Authority</v>
          </cell>
          <cell r="C43">
            <v>0</v>
          </cell>
        </row>
        <row r="44">
          <cell r="A44" t="str">
            <v>Comcare</v>
          </cell>
          <cell r="C44">
            <v>29219.87812813498</v>
          </cell>
        </row>
        <row r="45">
          <cell r="A45" t="str">
            <v>Commonwealth Grants Commission</v>
          </cell>
          <cell r="C45">
            <v>0</v>
          </cell>
        </row>
        <row r="46">
          <cell r="A46" t="str">
            <v>Defence Housing Australia</v>
          </cell>
          <cell r="C46">
            <v>7824.5717161491884</v>
          </cell>
        </row>
        <row r="47">
          <cell r="A47" t="str">
            <v>Department of Agriculture, Fisheries and Forestry</v>
          </cell>
          <cell r="B47" t="str">
            <v>MOG</v>
          </cell>
          <cell r="C47">
            <v>14883.617545435665</v>
          </cell>
        </row>
        <row r="48">
          <cell r="A48" t="str">
            <v>Department of Climate Change, Energy, the Environment and Water</v>
          </cell>
          <cell r="B48" t="str">
            <v>MOG</v>
          </cell>
          <cell r="C48">
            <v>32689.711602931697</v>
          </cell>
        </row>
        <row r="49">
          <cell r="A49" t="str">
            <v>Department of Defence</v>
          </cell>
          <cell r="C49">
            <v>201261.76265004941</v>
          </cell>
        </row>
        <row r="50">
          <cell r="A50" t="str">
            <v>Department of Education</v>
          </cell>
          <cell r="B50" t="str">
            <v>MOG</v>
          </cell>
          <cell r="C50">
            <v>6286.3369295229359</v>
          </cell>
        </row>
        <row r="51">
          <cell r="A51" t="str">
            <v>Department of Employment and Workplace Relations</v>
          </cell>
          <cell r="B51" t="str">
            <v>MOG</v>
          </cell>
          <cell r="C51">
            <v>15960.91602205169</v>
          </cell>
        </row>
        <row r="52">
          <cell r="A52" t="str">
            <v>Department of Finance</v>
          </cell>
          <cell r="B52" t="str">
            <v>MOG</v>
          </cell>
          <cell r="C52">
            <v>58300.426557198931</v>
          </cell>
        </row>
        <row r="53">
          <cell r="A53" t="str">
            <v>Department of Foreign Affairs and Trade</v>
          </cell>
          <cell r="B53" t="str">
            <v>MOG</v>
          </cell>
          <cell r="C53">
            <v>15861.3760474754</v>
          </cell>
        </row>
        <row r="54">
          <cell r="A54" t="str">
            <v>Department of Health and Aged Care</v>
          </cell>
          <cell r="C54">
            <v>61007.689434697197</v>
          </cell>
        </row>
        <row r="55">
          <cell r="A55" t="str">
            <v>Department of Home Affairs</v>
          </cell>
          <cell r="B55" t="str">
            <v>MOG</v>
          </cell>
          <cell r="C55">
            <v>186518.66974676747</v>
          </cell>
        </row>
        <row r="56">
          <cell r="A56" t="str">
            <v>Department of Industry, Science, Energy and Resources</v>
          </cell>
          <cell r="B56" t="str">
            <v>MOG</v>
          </cell>
          <cell r="C56">
            <v>33830.121480968533</v>
          </cell>
        </row>
        <row r="57">
          <cell r="A57" t="str">
            <v>Department of Infrastructure, Transport, Regional Development and Communications</v>
          </cell>
          <cell r="B57" t="str">
            <v>MOG</v>
          </cell>
          <cell r="C57">
            <v>7752.5495464523374</v>
          </cell>
        </row>
        <row r="58">
          <cell r="A58" t="str">
            <v>Department of Parliamentary Services</v>
          </cell>
          <cell r="C58">
            <v>905.39264887629997</v>
          </cell>
        </row>
        <row r="59">
          <cell r="A59" t="str">
            <v>Department of Social Services</v>
          </cell>
          <cell r="C59">
            <v>15494.9666643694</v>
          </cell>
        </row>
        <row r="60">
          <cell r="A60" t="str">
            <v>Department of the House of Representatives</v>
          </cell>
          <cell r="C60">
            <v>0</v>
          </cell>
        </row>
        <row r="61">
          <cell r="A61" t="str">
            <v>Department of the Prime Minister and Cabinet</v>
          </cell>
          <cell r="B61" t="str">
            <v>MOG</v>
          </cell>
          <cell r="C61">
            <v>1040.4524528069101</v>
          </cell>
        </row>
        <row r="62">
          <cell r="A62" t="str">
            <v>Department of the Senate</v>
          </cell>
          <cell r="C62">
            <v>0</v>
          </cell>
        </row>
        <row r="63">
          <cell r="A63" t="str">
            <v>Department of the Treasury</v>
          </cell>
          <cell r="C63">
            <v>5687.7003084109001</v>
          </cell>
        </row>
        <row r="64">
          <cell r="A64" t="str">
            <v>Department of Veterans' Affairs</v>
          </cell>
          <cell r="C64">
            <v>22072.425094770701</v>
          </cell>
        </row>
        <row r="65">
          <cell r="A65" t="str">
            <v>Digital Transformation Agency</v>
          </cell>
          <cell r="C65">
            <v>15604.0318186077</v>
          </cell>
        </row>
        <row r="66">
          <cell r="A66" t="str">
            <v>Director of National Parks</v>
          </cell>
          <cell r="C66">
            <v>4798.5768553336902</v>
          </cell>
        </row>
        <row r="67">
          <cell r="A67" t="str">
            <v>Fair Work Commission</v>
          </cell>
          <cell r="C67">
            <v>0</v>
          </cell>
        </row>
        <row r="68">
          <cell r="A68" t="str">
            <v>Fair Work Ombudsman</v>
          </cell>
          <cell r="C68">
            <v>5909.9139185307004</v>
          </cell>
        </row>
        <row r="69">
          <cell r="A69" t="str">
            <v>Federal Court of Australia</v>
          </cell>
          <cell r="C69">
            <v>761.83279991649999</v>
          </cell>
        </row>
        <row r="70">
          <cell r="A70" t="str">
            <v>Food Standards Australia New Zealand</v>
          </cell>
          <cell r="C70">
            <v>0</v>
          </cell>
        </row>
        <row r="71">
          <cell r="A71" t="str">
            <v>Future Fund Management Agency</v>
          </cell>
          <cell r="C71">
            <v>2291.5898825286999</v>
          </cell>
        </row>
        <row r="72">
          <cell r="A72" t="str">
            <v>Geoscience Australia</v>
          </cell>
          <cell r="C72">
            <v>2964.6108717055999</v>
          </cell>
        </row>
        <row r="73">
          <cell r="A73" t="str">
            <v>Great Barrier Reef Marine Park Authority</v>
          </cell>
          <cell r="C73">
            <v>2047.5163840014</v>
          </cell>
        </row>
        <row r="74">
          <cell r="A74" t="str">
            <v>Independent Hospital Pricing Authority</v>
          </cell>
          <cell r="C74">
            <v>0</v>
          </cell>
        </row>
        <row r="75">
          <cell r="A75" t="str">
            <v>Independent Parliamentary Expenses Authority</v>
          </cell>
          <cell r="C75">
            <v>0</v>
          </cell>
        </row>
        <row r="76">
          <cell r="A76" t="str">
            <v>Inspector-General of Taxation</v>
          </cell>
          <cell r="C76">
            <v>0</v>
          </cell>
        </row>
        <row r="77">
          <cell r="A77" t="str">
            <v>IP Australia</v>
          </cell>
          <cell r="C77">
            <v>1363.2914175699</v>
          </cell>
        </row>
        <row r="78">
          <cell r="A78" t="str">
            <v>Murray-Darling Basin Authority</v>
          </cell>
          <cell r="C78">
            <v>1171.6854165602301</v>
          </cell>
        </row>
        <row r="79">
          <cell r="A79" t="str">
            <v>National Archives of Australia</v>
          </cell>
          <cell r="C79">
            <v>0</v>
          </cell>
        </row>
        <row r="80">
          <cell r="A80" t="str">
            <v>National Blood Authority</v>
          </cell>
          <cell r="C80">
            <v>1049.7181168942</v>
          </cell>
        </row>
        <row r="81">
          <cell r="A81" t="str">
            <v>National Capital Authority</v>
          </cell>
          <cell r="C81">
            <v>1737.9259759121001</v>
          </cell>
        </row>
        <row r="82">
          <cell r="A82" t="str">
            <v>National Competition Council</v>
          </cell>
          <cell r="C82">
            <v>0</v>
          </cell>
        </row>
        <row r="83">
          <cell r="A83" t="str">
            <v>National Disability Insurance Agency</v>
          </cell>
          <cell r="C83">
            <v>76561.971912629058</v>
          </cell>
        </row>
        <row r="84">
          <cell r="A84" t="str">
            <v>National Emergency Management Agency</v>
          </cell>
          <cell r="B84" t="str">
            <v>MOG</v>
          </cell>
          <cell r="C84">
            <v>0</v>
          </cell>
        </row>
        <row r="85">
          <cell r="A85" t="str">
            <v>National Faster Rail Agency</v>
          </cell>
          <cell r="C85">
            <v>0</v>
          </cell>
        </row>
        <row r="86">
          <cell r="A86" t="str">
            <v>National Gallery of Australia</v>
          </cell>
          <cell r="C86">
            <v>883.90343723682008</v>
          </cell>
        </row>
        <row r="87">
          <cell r="A87" t="str">
            <v>National Health and Medical Research Council</v>
          </cell>
          <cell r="C87">
            <v>0</v>
          </cell>
        </row>
        <row r="88">
          <cell r="A88" t="str">
            <v>National Health Funding Body</v>
          </cell>
          <cell r="C88">
            <v>0</v>
          </cell>
        </row>
        <row r="89">
          <cell r="A89" t="str">
            <v>National Indigenous Australians Agency</v>
          </cell>
          <cell r="C89">
            <v>3234.0334733641998</v>
          </cell>
        </row>
        <row r="90">
          <cell r="A90" t="str">
            <v>National Library of Australia</v>
          </cell>
          <cell r="C90">
            <v>594.93202896139996</v>
          </cell>
        </row>
        <row r="91">
          <cell r="A91" t="str">
            <v>National Mental Health Commission</v>
          </cell>
          <cell r="C91">
            <v>0</v>
          </cell>
        </row>
        <row r="92">
          <cell r="A92" t="str">
            <v>National Offshore Petroleum Safety and Environmental Management Authority</v>
          </cell>
          <cell r="C92">
            <v>0</v>
          </cell>
        </row>
        <row r="93">
          <cell r="A93" t="str">
            <v>NDIS Quality and Safeguards Commission</v>
          </cell>
          <cell r="C93">
            <v>1232.2827007101</v>
          </cell>
        </row>
        <row r="94">
          <cell r="A94" t="str">
            <v>North Queensland Water Infrastructure Authority</v>
          </cell>
          <cell r="C94">
            <v>0</v>
          </cell>
        </row>
        <row r="95">
          <cell r="A95" t="str">
            <v>Office of Parliamentary Counsel</v>
          </cell>
          <cell r="C95">
            <v>0</v>
          </cell>
        </row>
        <row r="96">
          <cell r="A96" t="str">
            <v>Office of the Auditing and Assurance Standards Board</v>
          </cell>
          <cell r="C96">
            <v>0</v>
          </cell>
        </row>
        <row r="97">
          <cell r="A97" t="str">
            <v>Office of the Australian Accounting Standards Board</v>
          </cell>
          <cell r="C97">
            <v>0</v>
          </cell>
        </row>
        <row r="98">
          <cell r="A98" t="str">
            <v>Office of the Australian Information Commissioner</v>
          </cell>
          <cell r="C98">
            <v>1974.5859390789999</v>
          </cell>
        </row>
        <row r="99">
          <cell r="A99" t="str">
            <v>Office of the Commonwealth Ombudsman</v>
          </cell>
          <cell r="C99">
            <v>0</v>
          </cell>
        </row>
        <row r="100">
          <cell r="A100" t="str">
            <v>Office of the Director of Public Prosecutions</v>
          </cell>
          <cell r="C100">
            <v>0</v>
          </cell>
        </row>
        <row r="101">
          <cell r="A101" t="str">
            <v>Office of the Inspector-General of Intelligence and Security</v>
          </cell>
          <cell r="C101">
            <v>0</v>
          </cell>
        </row>
        <row r="102">
          <cell r="A102" t="str">
            <v>Office of the Official Secretary to the Governor-General</v>
          </cell>
          <cell r="C102">
            <v>0</v>
          </cell>
        </row>
        <row r="103">
          <cell r="A103" t="str">
            <v>Office of the Special Investigator</v>
          </cell>
          <cell r="C103">
            <v>0</v>
          </cell>
        </row>
        <row r="104">
          <cell r="A104" t="str">
            <v>Organ and Tissue Authority</v>
          </cell>
          <cell r="C104">
            <v>0</v>
          </cell>
        </row>
        <row r="105">
          <cell r="A105" t="str">
            <v>Parliamentary Budget Office</v>
          </cell>
          <cell r="C105">
            <v>0</v>
          </cell>
        </row>
        <row r="106">
          <cell r="A106" t="str">
            <v>Productivity Commission</v>
          </cell>
          <cell r="C106">
            <v>0</v>
          </cell>
        </row>
        <row r="107">
          <cell r="A107" t="str">
            <v>Professional Services Review</v>
          </cell>
          <cell r="C107">
            <v>2007.1226571929001</v>
          </cell>
        </row>
        <row r="108">
          <cell r="A108" t="str">
            <v>Regional Investment Corporation</v>
          </cell>
          <cell r="C108">
            <v>2477.0198898030299</v>
          </cell>
        </row>
        <row r="109">
          <cell r="A109" t="str">
            <v>Registered Organisations Commission Entity</v>
          </cell>
          <cell r="C109">
            <v>0</v>
          </cell>
        </row>
        <row r="110">
          <cell r="A110" t="str">
            <v>Royal Australian Mint</v>
          </cell>
          <cell r="C110">
            <v>0</v>
          </cell>
        </row>
        <row r="111">
          <cell r="A111" t="str">
            <v>Safe Work Australia</v>
          </cell>
          <cell r="C111">
            <v>0</v>
          </cell>
        </row>
        <row r="112">
          <cell r="A112" t="str">
            <v>Seafarers Safety, Rehabilitation and Compensation Authority (Seacare Authority)</v>
          </cell>
          <cell r="C112">
            <v>0</v>
          </cell>
        </row>
        <row r="113">
          <cell r="A113" t="str">
            <v>Services Australia</v>
          </cell>
          <cell r="C113">
            <v>70086.801861874206</v>
          </cell>
        </row>
        <row r="114">
          <cell r="A114" t="str">
            <v>Sport Integrity Australia</v>
          </cell>
          <cell r="C114">
            <v>0</v>
          </cell>
        </row>
        <row r="115">
          <cell r="A115" t="str">
            <v>Tertiary Education Quality and Standards Agency</v>
          </cell>
          <cell r="C115">
            <v>0</v>
          </cell>
        </row>
        <row r="116">
          <cell r="A116" t="str">
            <v>Workplace Gender Equality Agency</v>
          </cell>
          <cell r="C116">
            <v>0</v>
          </cell>
        </row>
        <row r="117">
          <cell r="A117" t="str">
            <v>WSA Co Limited</v>
          </cell>
          <cell r="C117">
            <v>23747.874045315421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y Form"/>
      <sheetName val="Summary"/>
      <sheetName val="Formulas"/>
      <sheetName val="Text"/>
      <sheetName val="Agency reporting template"/>
      <sheetName val="A - Professional Fees"/>
      <sheetName val="List of Law Firms"/>
    </sheetNames>
    <sheetDataSet>
      <sheetData sheetId="0">
        <row r="34">
          <cell r="C34">
            <v>5644130</v>
          </cell>
        </row>
        <row r="407">
          <cell r="B407" t="str">
            <v>Entry Form complete</v>
          </cell>
        </row>
      </sheetData>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List_of_Law_Firms" displayName="List_of_Law_Firms" ref="A1:A63" totalsRowShown="0" headerRowDxfId="2" dataDxfId="1">
  <tableColumns count="1">
    <tableColumn id="1" xr3:uid="{00000000-0010-0000-0000-000001000000}" name="LSP_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H407"/>
  <sheetViews>
    <sheetView showGridLines="0" tabSelected="1" topLeftCell="B1" zoomScale="85" zoomScaleNormal="85" workbookViewId="0">
      <selection activeCell="C88" sqref="C88"/>
    </sheetView>
  </sheetViews>
  <sheetFormatPr defaultColWidth="9.1796875" defaultRowHeight="24.5" x14ac:dyDescent="0.45"/>
  <cols>
    <col min="1" max="1" width="33.7265625" style="124" customWidth="1"/>
    <col min="2" max="2" width="100.7265625" style="124" customWidth="1"/>
    <col min="3" max="3" width="33.7265625" style="202" customWidth="1"/>
    <col min="4" max="4" width="9" style="123" customWidth="1"/>
    <col min="5" max="5" width="8.7265625" style="123" hidden="1" customWidth="1"/>
    <col min="6" max="7" width="9.1796875" style="124" hidden="1" customWidth="1"/>
    <col min="8" max="8" width="9.1796875" style="124"/>
    <col min="9" max="9" width="42.1796875" style="124" customWidth="1"/>
    <col min="10" max="16384" width="9.1796875" style="124"/>
  </cols>
  <sheetData>
    <row r="1" spans="1:7" ht="44.25" customHeight="1" x14ac:dyDescent="0.55000000000000004">
      <c r="A1" s="173"/>
      <c r="B1" s="174" t="s">
        <v>731</v>
      </c>
      <c r="C1" s="175"/>
    </row>
    <row r="2" spans="1:7" ht="36.75" customHeight="1" thickBot="1" x14ac:dyDescent="0.5">
      <c r="A2" s="176"/>
      <c r="B2" s="147" t="s">
        <v>657</v>
      </c>
      <c r="C2" s="177"/>
    </row>
    <row r="3" spans="1:7" ht="95.25" customHeight="1" thickTop="1" x14ac:dyDescent="0.45">
      <c r="A3" s="226" t="str">
        <f>Text!A4</f>
        <v>What is this section?</v>
      </c>
      <c r="B3" s="135" t="str">
        <f>Text!B4</f>
        <v xml:space="preserve">
In this section, you will be identifying the entity that is completing this Legal Services Expenditure Report (LSER) template. Some information throughout the Entry form will auto-populate based on this selection, including the ABN, participation in the Whole of Australian Government Legal Services Panel, and comparisons with that entity’s 2021-22 LSER.
</v>
      </c>
      <c r="C3" s="178"/>
    </row>
    <row r="4" spans="1:7" ht="93.75" customHeight="1" x14ac:dyDescent="0.45">
      <c r="A4" s="215" t="str">
        <f>Text!A5</f>
        <v>What if the entity name or ABN is incorrect?</v>
      </c>
      <c r="B4" s="135" t="str">
        <f>Text!B5</f>
        <v xml:space="preserve">
If you cannot find your entity in the list, or if the information that loads is incorrect, please contact the Office of Legal Services Coordination (OLSC) for assistance. We note that the entity names in the list correspond with previous LSER’s and have been updated in accordance with changes as reflected in the Finance Flipchart.
</v>
      </c>
      <c r="C4" s="179"/>
    </row>
    <row r="5" spans="1:7" ht="32.15" customHeight="1" thickBot="1" x14ac:dyDescent="0.5">
      <c r="A5" s="215"/>
      <c r="B5" s="180"/>
      <c r="C5" s="179"/>
    </row>
    <row r="6" spans="1:7" ht="54" customHeight="1" thickTop="1" thickBot="1" x14ac:dyDescent="0.5">
      <c r="A6" s="215"/>
      <c r="B6" s="181" t="s">
        <v>658</v>
      </c>
      <c r="C6" s="117" t="s">
        <v>227</v>
      </c>
      <c r="D6" s="182" t="str">
        <f>IF(AND($C$9="",C6=""),"E",IF(AND($C$9="",C6&lt;&gt;""),"",IF(NOT(ISNUMBER(MATCH(C6,agencyname,0))),"D",IF(AND($C$9="check",C6&lt;&gt;""),"C","D"))))</f>
        <v>C</v>
      </c>
      <c r="F6" s="124" t="s">
        <v>612</v>
      </c>
      <c r="G6" s="124" t="s">
        <v>612</v>
      </c>
    </row>
    <row r="7" spans="1:7" ht="25.5" thickTop="1" thickBot="1" x14ac:dyDescent="0.5">
      <c r="A7" s="215"/>
      <c r="B7" s="183" t="s">
        <v>132</v>
      </c>
      <c r="C7" s="112" t="str">
        <f>IF(ISNUMBER(MATCH(C6,agencyname,0)),INDEX(abnumber,MATCH(C6,agencyname,0)),"")</f>
        <v>11 259 448 410</v>
      </c>
      <c r="D7" s="123" t="str">
        <f>IF($C$9="","",IF(AND($C$9="check",C7&lt;&gt;""),"C","D"))</f>
        <v>C</v>
      </c>
      <c r="F7" s="124" t="s">
        <v>612</v>
      </c>
      <c r="G7" s="124" t="s">
        <v>611</v>
      </c>
    </row>
    <row r="8" spans="1:7" ht="25.5" thickTop="1" thickBot="1" x14ac:dyDescent="0.5">
      <c r="A8" s="215"/>
      <c r="B8" s="134"/>
      <c r="C8" s="184"/>
      <c r="F8" s="124" t="s">
        <v>490</v>
      </c>
      <c r="G8" s="124" t="s">
        <v>490</v>
      </c>
    </row>
    <row r="9" spans="1:7" ht="25.5" thickTop="1" thickBot="1" x14ac:dyDescent="0.5">
      <c r="A9" s="215"/>
      <c r="B9" s="236" t="s">
        <v>556</v>
      </c>
      <c r="C9" s="113" t="s">
        <v>555</v>
      </c>
      <c r="D9" s="123" t="str">
        <f>IF(AND(C6&lt;&gt;"",C7&lt;&gt;"",C9&lt;&gt;"Check"),"E","")</f>
        <v/>
      </c>
      <c r="E9" s="123" t="str">
        <f>IF(B9="Check details to proceed","O","")</f>
        <v>O</v>
      </c>
      <c r="F9" s="124" t="s">
        <v>612</v>
      </c>
      <c r="G9" s="124" t="s">
        <v>606</v>
      </c>
    </row>
    <row r="10" spans="1:7" ht="25.5" thickTop="1" thickBot="1" x14ac:dyDescent="0.5">
      <c r="A10" s="227"/>
      <c r="B10" s="185" t="str">
        <f>IF(AND(C9="",D9=""),"Entity details incomplete",IF(AND(C9="",D9="E"),"Please select 'Check' from the drop down list",IF(AND(C9="check",C6=""),"You must select an entity name from the list",IF(AND(C9="Check",C6="ENTITY NOT LISTED"),"Please contact OLSC for assistance",IF(AND(C9="Check",NOT(ISNUMBER(MATCH(C6,agencyname,0)))),"Please find your entity's name in the drop down list or select 'ENTITY NOT LISTED'","Proceed below")))))</f>
        <v>Proceed below</v>
      </c>
      <c r="C10" s="186"/>
      <c r="F10" s="124" t="s">
        <v>490</v>
      </c>
      <c r="G10" s="124" t="s">
        <v>490</v>
      </c>
    </row>
    <row r="11" spans="1:7" ht="37.5" customHeight="1" thickTop="1" thickBot="1" x14ac:dyDescent="0.5">
      <c r="A11" s="228"/>
      <c r="B11" s="147" t="s">
        <v>109</v>
      </c>
      <c r="C11" s="187"/>
      <c r="F11" s="124" t="s">
        <v>490</v>
      </c>
      <c r="G11" s="124" t="s">
        <v>490</v>
      </c>
    </row>
    <row r="12" spans="1:7" ht="176.25" customHeight="1" thickTop="1" x14ac:dyDescent="0.45">
      <c r="A12" s="215" t="str">
        <f>Text!A12</f>
        <v>How to use this template</v>
      </c>
      <c r="B12" s="135" t="str">
        <f>Text!B12</f>
        <v xml:space="preserve">
This template is for completing the 2022-23 LSER and has been approved by OLSC. You must only use this template. All non-corporate and corporate Commonwealth entities must complete the template, unless exempted from doing do.
As you fill out the template, you will see more guidance and only be prompted to move to the next section once the current section has been successfully completed. Each section is dedicated to a different type of legal services expenditure. Once each section is completed, you can review your inputs in the Summary sheet and include commentary if required before providing final confirmation to complete the template. 
</v>
      </c>
      <c r="C12" s="178"/>
      <c r="F12" s="124" t="s">
        <v>490</v>
      </c>
      <c r="G12" s="124" t="s">
        <v>490</v>
      </c>
    </row>
    <row r="13" spans="1:7" ht="65.25" customHeight="1" x14ac:dyDescent="0.45">
      <c r="A13" s="215" t="str">
        <f>Text!A13</f>
        <v>What is section 1?</v>
      </c>
      <c r="B13" s="135" t="str">
        <f>Text!B13</f>
        <v xml:space="preserve">
In section 1 you are required to report the total value of your entity's internal legal services expenditure for 2022-23.
</v>
      </c>
      <c r="C13" s="178"/>
    </row>
    <row r="14" spans="1:7" ht="57.75" customHeight="1" x14ac:dyDescent="0.45">
      <c r="A14" s="215" t="str">
        <f>Text!A14</f>
        <v>What is section 2?</v>
      </c>
      <c r="B14" s="135" t="str">
        <f>Text!B14</f>
        <v xml:space="preserve">
In section 2 you are required to report the details of your entity's briefs to counsel.
</v>
      </c>
      <c r="C14" s="178"/>
    </row>
    <row r="15" spans="1:7" ht="60" customHeight="1" x14ac:dyDescent="0.45">
      <c r="A15" s="215" t="str">
        <f>Text!A15</f>
        <v>What is section 3?</v>
      </c>
      <c r="B15" s="135" t="str">
        <f>Text!B15</f>
        <v xml:space="preserve">
In section 3 you are required to report total value of your entity’s expenditure on disbursements. 
</v>
      </c>
      <c r="C15" s="178"/>
    </row>
    <row r="16" spans="1:7" ht="62.25" customHeight="1" x14ac:dyDescent="0.45">
      <c r="A16" s="215" t="str">
        <f>Text!A16</f>
        <v>What is section 4?</v>
      </c>
      <c r="B16" s="135" t="str">
        <f>Text!B16</f>
        <v xml:space="preserve">
In section 4 you are required to report information about your entity's use of legal services panels.
</v>
      </c>
      <c r="C16" s="178"/>
    </row>
    <row r="17" spans="1:7" ht="67.5" customHeight="1" x14ac:dyDescent="0.45">
      <c r="A17" s="215" t="str">
        <f>Text!A17</f>
        <v>What is section 5?</v>
      </c>
      <c r="B17" s="135" t="str">
        <f>Text!B17</f>
        <v xml:space="preserve">
In section 5 you are required to report on your entity's expenditure on professional fees.
</v>
      </c>
      <c r="C17" s="178"/>
    </row>
    <row r="18" spans="1:7" ht="169.5" customHeight="1" x14ac:dyDescent="0.45">
      <c r="A18" s="215" t="str">
        <f>Text!A18</f>
        <v>What is the Summary sheet?</v>
      </c>
      <c r="B18" s="135" t="str">
        <f>Text!B18</f>
        <v xml:space="preserve">
The Summary sheet is only visible once you have confirmed that the Entry form is complete following inclusion of the last domestic legal services provider in Section 5c.
In the Summary sheet you are required to review and confirm the summary totals for your entity's 2022-23 Legal Services Expenditure Report based on what you entered in the Entry form sheet.
Commentary is required if there has been a significant change in total expenditure from 2021-22. Otherwise, entities may provide optional commentary to OLSC about their report. Commentary will not be made public or shared with other entities.
</v>
      </c>
      <c r="C18" s="178"/>
    </row>
    <row r="19" spans="1:7" ht="186.75" customHeight="1" x14ac:dyDescent="0.45">
      <c r="A19" s="215" t="str">
        <f>Text!A19</f>
        <v>How should information be reported?</v>
      </c>
      <c r="B19" s="135" t="str">
        <f>Text!B19</f>
        <v xml:space="preserve">
Information should be reported in accordance with Guidance Note 8 which can be found at &lt;https://www.ag.gov.au/legal-system/office-legal-services-coordination/legal-services-directions-and-guidance-notes&gt;.
In particular, expenditure is to be reported on an accruals basis. All figures are to be GST exclusive and rounded to the nearest dollar. Do not leave any input cells blank. For example, if there was no expenditure, enter '0' for a total value of $0.
Entities participating in the Whole of Australian Government Legal Services Panel are welcome to utilise the legal services providers reported expenditure data in the Panel online Portal to inform their LSER.
</v>
      </c>
      <c r="C19" s="179"/>
      <c r="F19" s="124" t="s">
        <v>490</v>
      </c>
      <c r="G19" s="124" t="s">
        <v>490</v>
      </c>
    </row>
    <row r="20" spans="1:7" ht="79.5" customHeight="1" x14ac:dyDescent="0.45">
      <c r="A20" s="215" t="str">
        <f>Text!A20</f>
        <v>How do I submit a completed template?</v>
      </c>
      <c r="B20" s="135" t="str">
        <f>Text!B20</f>
        <v xml:space="preserve">
The completed template is to be returned to OLSC within 60 days after the end of the financial year (29 August 2023). Please email a copy to LSER@ag.gov.au. If your entity is not able to meet this deadline please email LSER@ag.gov.au as early as possible.
</v>
      </c>
      <c r="C20" s="179"/>
      <c r="F20" s="124" t="s">
        <v>490</v>
      </c>
      <c r="G20" s="124" t="s">
        <v>490</v>
      </c>
    </row>
    <row r="21" spans="1:7" ht="69.75" customHeight="1" x14ac:dyDescent="0.45">
      <c r="A21" s="215" t="str">
        <f>Text!A21</f>
        <v>A reminder of further obligations</v>
      </c>
      <c r="B21" s="135" t="str">
        <f>Text!B21</f>
        <v xml:space="preserve">
In addition to completing this template, all non-corporate Commonwealth entities are required to publish their legal services expenditure by 30 October.
</v>
      </c>
      <c r="C21" s="179"/>
      <c r="F21" s="124" t="s">
        <v>490</v>
      </c>
      <c r="G21" s="124" t="s">
        <v>490</v>
      </c>
    </row>
    <row r="22" spans="1:7" ht="68.25" customHeight="1" x14ac:dyDescent="0.45">
      <c r="A22" s="215" t="str">
        <f>Text!A22</f>
        <v>Need further assistance?</v>
      </c>
      <c r="B22" s="135" t="str">
        <f>Text!B22</f>
        <v xml:space="preserve">
If you require further assistance to complete this template please get in touch with OLSC:
Phone: (02) 6141 3642
Email: LSER@ag.gov.au
</v>
      </c>
      <c r="C22" s="179"/>
      <c r="F22" s="124" t="s">
        <v>490</v>
      </c>
      <c r="G22" s="124" t="s">
        <v>490</v>
      </c>
    </row>
    <row r="23" spans="1:7" ht="24" customHeight="1" thickBot="1" x14ac:dyDescent="0.5">
      <c r="A23" s="215"/>
      <c r="B23" s="180"/>
      <c r="C23" s="179"/>
      <c r="F23" s="124" t="s">
        <v>490</v>
      </c>
      <c r="G23" s="124" t="s">
        <v>490</v>
      </c>
    </row>
    <row r="24" spans="1:7" ht="25.5" thickTop="1" thickBot="1" x14ac:dyDescent="0.5">
      <c r="A24" s="229"/>
      <c r="B24" s="236" t="str">
        <f>Text!B24</f>
        <v>Please confirm that you have read and understood the Template Guidance</v>
      </c>
      <c r="C24" s="113" t="s">
        <v>141</v>
      </c>
      <c r="D24" s="123" t="str">
        <f>IF(AND(B10="Proceed below",C24=""),"E","")</f>
        <v/>
      </c>
      <c r="E24" s="123" t="str">
        <f>IF(B24=Text!B24,"E","")</f>
        <v>E</v>
      </c>
      <c r="F24" s="124" t="s">
        <v>612</v>
      </c>
      <c r="G24" s="124" t="s">
        <v>605</v>
      </c>
    </row>
    <row r="25" spans="1:7" ht="25.5" thickTop="1" thickBot="1" x14ac:dyDescent="0.5">
      <c r="A25" s="227"/>
      <c r="B25" s="189" t="str">
        <f>IF($B$10&lt;&gt;"Proceed below","Please enter entity details above",IF($C$24="","Read the Guidance then select 'Yes' or 'No' from the drop down list",IF($C$24="Yes","Proceed below","Please contact OLSC for assistance")))</f>
        <v>Proceed below</v>
      </c>
      <c r="C25" s="190"/>
      <c r="F25" s="124" t="s">
        <v>490</v>
      </c>
      <c r="G25" s="124" t="s">
        <v>490</v>
      </c>
    </row>
    <row r="26" spans="1:7" ht="39" customHeight="1" thickTop="1" thickBot="1" x14ac:dyDescent="0.5">
      <c r="A26" s="228" t="s">
        <v>143</v>
      </c>
      <c r="B26" s="147" t="s">
        <v>155</v>
      </c>
      <c r="C26" s="177"/>
      <c r="F26" s="124" t="s">
        <v>490</v>
      </c>
      <c r="G26" s="124" t="s">
        <v>490</v>
      </c>
    </row>
    <row r="27" spans="1:7" ht="59.25" customHeight="1" thickTop="1" x14ac:dyDescent="0.45">
      <c r="A27" s="215" t="str">
        <f>Text!A27</f>
        <v>What is this section?</v>
      </c>
      <c r="B27" s="191" t="str">
        <f>Text!B27</f>
        <v xml:space="preserve">
In this section you are required to report the total value of your entity's internal legal services expenditure for 2022-23.
</v>
      </c>
      <c r="C27" s="179"/>
      <c r="F27" s="124" t="s">
        <v>490</v>
      </c>
      <c r="G27" s="124" t="s">
        <v>490</v>
      </c>
    </row>
    <row r="28" spans="1:7" ht="84.75" customHeight="1" x14ac:dyDescent="0.45">
      <c r="A28" s="215" t="str">
        <f>Text!A28</f>
        <v>What is internal legal services expenditure?</v>
      </c>
      <c r="B28" s="191" t="str">
        <f>Text!B28</f>
        <v xml:space="preserve">
Internal legal services expenditure is the total expenditure within an entity on legal work undertaken by in-house lawyers, either by a dedicated legal unit, or by individual lawyers working within business lines. Information on how to calculate internal legal services expenditure is in Guidance Note 8.
</v>
      </c>
      <c r="C28" s="179"/>
      <c r="F28" s="124" t="s">
        <v>490</v>
      </c>
      <c r="G28" s="124" t="s">
        <v>490</v>
      </c>
    </row>
    <row r="29" spans="1:7" ht="63" customHeight="1" x14ac:dyDescent="0.45">
      <c r="A29" s="215" t="str">
        <f>Text!A29</f>
        <v>How is internal legal services expenditure reported?</v>
      </c>
      <c r="B29" s="191" t="str">
        <f>Text!B29</f>
        <v xml:space="preserve">
Only enter whole dollar amount. Figures including cents will not be accepted. If there was no expenditure, enter '0' for a total value of $0.
</v>
      </c>
      <c r="C29" s="179"/>
      <c r="F29" s="124" t="s">
        <v>490</v>
      </c>
      <c r="G29" s="124" t="s">
        <v>490</v>
      </c>
    </row>
    <row r="30" spans="1:7" ht="27" customHeight="1" thickBot="1" x14ac:dyDescent="0.5">
      <c r="A30" s="215"/>
      <c r="B30" s="154"/>
      <c r="C30" s="179"/>
      <c r="F30" s="124" t="s">
        <v>490</v>
      </c>
      <c r="G30" s="124" t="s">
        <v>490</v>
      </c>
    </row>
    <row r="31" spans="1:7" ht="25.5" thickTop="1" thickBot="1" x14ac:dyDescent="0.5">
      <c r="A31" s="215"/>
      <c r="B31" s="237" t="str">
        <f>IF($B25&lt;&gt;"Proceed below","",Text!B31)</f>
        <v>Please confirm that you have read and understood the Internal Legal Services Expenditure explainer</v>
      </c>
      <c r="C31" s="113" t="s">
        <v>141</v>
      </c>
      <c r="D31" s="123" t="str">
        <f>IF(AND(B25="Proceed below",C31=""),"E","")</f>
        <v/>
      </c>
      <c r="E31" s="123" t="str">
        <f>IF(B31=Text!B31,"E","")</f>
        <v>E</v>
      </c>
      <c r="F31" s="124" t="s">
        <v>612</v>
      </c>
      <c r="G31" s="124" t="s">
        <v>605</v>
      </c>
    </row>
    <row r="32" spans="1:7" ht="25.5" thickTop="1" thickBot="1" x14ac:dyDescent="0.5">
      <c r="A32" s="227"/>
      <c r="B32" s="189" t="str">
        <f>IF($B$25&lt;&gt;"Proceed below","",IF($C$31="Yes","Proceed below",IF($C$31="No","Please contact OLSC for assistance","Read the explainer then select 'Yes' or 'No' from the drop down list")))</f>
        <v>Proceed below</v>
      </c>
      <c r="C32" s="190"/>
      <c r="F32" s="124" t="s">
        <v>490</v>
      </c>
      <c r="G32" s="124" t="s">
        <v>490</v>
      </c>
    </row>
    <row r="33" spans="1:7" ht="36.65" customHeight="1" thickTop="1" thickBot="1" x14ac:dyDescent="0.5">
      <c r="A33" s="228" t="s">
        <v>143</v>
      </c>
      <c r="B33" s="147" t="s">
        <v>156</v>
      </c>
      <c r="C33" s="177"/>
      <c r="F33" s="124" t="s">
        <v>490</v>
      </c>
      <c r="G33" s="124" t="s">
        <v>490</v>
      </c>
    </row>
    <row r="34" spans="1:7" ht="25.5" thickTop="1" thickBot="1" x14ac:dyDescent="0.5">
      <c r="A34" s="229"/>
      <c r="B34" s="183" t="str">
        <f>Text!B34</f>
        <v>Total value of internal legal services expenditure</v>
      </c>
      <c r="C34" s="257">
        <f>IF('[2]Entry Form'!$B$407&lt;&gt;"Entry form complete","",'[2]Entry Form'!$C$34)</f>
        <v>5644130</v>
      </c>
      <c r="D34" s="123" t="str">
        <f>IF($B$32&lt;&gt;"Proceed below","",IF(AND(C36&lt;&gt;"Check",C34=""),"E",IF(AND(C36&lt;&gt;"Check",C34&lt;&gt;""),"",IF(NOT(ISNUMBER(C34)),"D",IF(AND(INT(C34)=C34,C34&lt;&gt;"",C34&gt;=0),"C","D")))))</f>
        <v>C</v>
      </c>
      <c r="F34" s="124" t="s">
        <v>612</v>
      </c>
      <c r="G34" s="124" t="s">
        <v>490</v>
      </c>
    </row>
    <row r="35" spans="1:7" ht="25.5" thickTop="1" thickBot="1" x14ac:dyDescent="0.5">
      <c r="A35" s="229"/>
      <c r="B35" s="188"/>
      <c r="C35" s="192"/>
      <c r="F35" s="124" t="s">
        <v>490</v>
      </c>
      <c r="G35" s="124" t="s">
        <v>490</v>
      </c>
    </row>
    <row r="36" spans="1:7" ht="25.5" thickTop="1" thickBot="1" x14ac:dyDescent="0.5">
      <c r="A36" s="229"/>
      <c r="B36" s="236" t="str">
        <f>IF($B$32="Proceed below",Text!B36,"")</f>
        <v>Check details to proceed</v>
      </c>
      <c r="C36" s="113" t="s">
        <v>555</v>
      </c>
      <c r="D36" s="123" t="str">
        <f>IF(AND(B32="Proceed below",C34&lt;&gt;"",C36=""),"E","")</f>
        <v/>
      </c>
      <c r="E36" s="123" t="str">
        <f>IF(B36="Check details to proceed","O","")</f>
        <v>O</v>
      </c>
      <c r="F36" s="124" t="s">
        <v>612</v>
      </c>
      <c r="G36" s="124" t="s">
        <v>606</v>
      </c>
    </row>
    <row r="37" spans="1:7" ht="25.5" thickTop="1" thickBot="1" x14ac:dyDescent="0.5">
      <c r="A37" s="230"/>
      <c r="B37" s="189" t="str">
        <f>IF($B$32&lt;&gt;"Proceed below","",IF(AND(C36&lt;&gt;"Check",D36=""),"Section 1 incomplete",IF(AND(C36&lt;&gt;"Check",D36="E"),"Please select 'Check' from the drop down list",IF(C34="","Cell cannot be left blank",IF(NOT(ISNUMBER(C34)),"Please enter numbers only",IF(INT(C34)&lt;&gt;C34,"Please enter whole numbers only",IF(C34&lt;0,"Cannot enter negative amount","Proceed below")))))))</f>
        <v>Proceed below</v>
      </c>
      <c r="C37" s="193"/>
      <c r="F37" s="124" t="s">
        <v>490</v>
      </c>
      <c r="G37" s="124" t="s">
        <v>490</v>
      </c>
    </row>
    <row r="38" spans="1:7" ht="43.5" customHeight="1" thickTop="1" thickBot="1" x14ac:dyDescent="0.5">
      <c r="A38" s="228" t="s">
        <v>144</v>
      </c>
      <c r="B38" s="147" t="s">
        <v>146</v>
      </c>
      <c r="C38" s="177"/>
      <c r="F38" s="124" t="s">
        <v>490</v>
      </c>
      <c r="G38" s="124" t="s">
        <v>490</v>
      </c>
    </row>
    <row r="39" spans="1:7" ht="115.5" customHeight="1" thickTop="1" x14ac:dyDescent="0.45">
      <c r="A39" s="215" t="str">
        <f>Text!A39</f>
        <v>What is this section?</v>
      </c>
      <c r="B39" s="191" t="str">
        <f>Text!B39</f>
        <v xml:space="preserve">
In this section you are required to report the details of your entity's briefs to counsel (not including the Solicitor-General) for 2022-23. This section is divided into two subsections: 2a) Briefs to Junior Counsel; 2b) Briefs to Senior Counsel.
In each section, you are required to report the number and value of briefs, broken down by gender and how counsel was briefed.
</v>
      </c>
      <c r="C39" s="179"/>
      <c r="F39" s="124" t="s">
        <v>490</v>
      </c>
      <c r="G39" s="124" t="s">
        <v>490</v>
      </c>
    </row>
    <row r="40" spans="1:7" ht="105.75" customHeight="1" x14ac:dyDescent="0.45">
      <c r="A40" s="215" t="str">
        <f>Text!A40</f>
        <v>What is the difference between senior and junior counsel?</v>
      </c>
      <c r="B40" s="191" t="str">
        <f>Text!B40</f>
        <v xml:space="preserve">
‘senior’ means a barrister of 10+ years experience at the Bar, counsel who has 10 or more years’ experience in being briefed as a barrister to advise or appear, or a King's/Senior Counsel. For 2022-23, include counsel called to the bar in 2013.
'junior' means all other barristers/counsel.
</v>
      </c>
      <c r="C40" s="179"/>
      <c r="F40" s="124" t="s">
        <v>490</v>
      </c>
      <c r="G40" s="124" t="s">
        <v>490</v>
      </c>
    </row>
    <row r="41" spans="1:7" ht="82.5" customHeight="1" x14ac:dyDescent="0.45">
      <c r="A41" s="215" t="str">
        <f>Text!A41</f>
        <v>What is the difference between direct and indirect briefing?</v>
      </c>
      <c r="B41" s="191" t="str">
        <f>Text!B41</f>
        <v xml:space="preserve">
Indirect briefing is when a legal services provider briefs counsel.
Direct briefing is when an entity briefs counsel directly, rather than through a legal services provider.
</v>
      </c>
      <c r="C41" s="179"/>
      <c r="F41" s="124" t="s">
        <v>490</v>
      </c>
      <c r="G41" s="124" t="s">
        <v>490</v>
      </c>
    </row>
    <row r="42" spans="1:7" ht="137.25" customHeight="1" x14ac:dyDescent="0.45">
      <c r="A42" s="215" t="str">
        <f>Text!A42</f>
        <v>How are briefs reported?</v>
      </c>
      <c r="B42" s="191" t="str">
        <f>Text!B42</f>
        <v xml:space="preserve">
Only include details for 2022-23. For example, if counsel was briefed in a previous reporting period, do not include it in the number of briefs (as it was reported in a previous LSER). However, if that counsel undertook work during the reporting period, this expenditure should be reported. Briefing the same counsel in an appeal counts as a new brief.
Figures must be reported as whole numbers, GST exclusive. Figures including cents will not be accepted. If there were no briefs or expenditure, you are required to input '0'. 
</v>
      </c>
      <c r="C42" s="179"/>
      <c r="F42" s="124" t="s">
        <v>490</v>
      </c>
      <c r="G42" s="124" t="s">
        <v>490</v>
      </c>
    </row>
    <row r="43" spans="1:7" ht="31.5" customHeight="1" thickBot="1" x14ac:dyDescent="0.5">
      <c r="A43" s="215"/>
      <c r="B43" s="180"/>
      <c r="C43" s="179"/>
      <c r="F43" s="124" t="s">
        <v>490</v>
      </c>
      <c r="G43" s="124" t="s">
        <v>490</v>
      </c>
    </row>
    <row r="44" spans="1:7" ht="26.15" customHeight="1" thickTop="1" thickBot="1" x14ac:dyDescent="0.5">
      <c r="A44" s="215" t="str">
        <f>IF($B$37="Proceed to Section 2","How is the value of briefs reported?","")</f>
        <v/>
      </c>
      <c r="B44" s="236" t="str">
        <f>IF($B$37&lt;&gt;"Proceed below","",Text!B44)</f>
        <v>Please confirm you have read and understood the counsel briefs explainer</v>
      </c>
      <c r="C44" s="113" t="s">
        <v>141</v>
      </c>
      <c r="D44" s="123" t="str">
        <f>IF(AND(B37="Proceed below",C44=""),"E","")</f>
        <v/>
      </c>
      <c r="E44" s="123" t="str">
        <f>IF(B44=Text!B44,"E","")</f>
        <v>E</v>
      </c>
      <c r="F44" s="124" t="s">
        <v>612</v>
      </c>
      <c r="G44" s="124" t="s">
        <v>605</v>
      </c>
    </row>
    <row r="45" spans="1:7" ht="25.5" thickTop="1" thickBot="1" x14ac:dyDescent="0.5">
      <c r="A45" s="230"/>
      <c r="B45" s="189" t="str">
        <f>IF($B$37&lt;&gt;"Proceed below","",IF(C44="Yes","Proceed below",IF(C44="No","Please contact OLSC for assistance","Read the explainer then select 'Yes' or 'No' from the drop down list")))</f>
        <v>Proceed below</v>
      </c>
      <c r="C45" s="193"/>
      <c r="F45" s="124" t="s">
        <v>490</v>
      </c>
      <c r="G45" s="124" t="s">
        <v>490</v>
      </c>
    </row>
    <row r="46" spans="1:7" ht="41.25" customHeight="1" thickTop="1" thickBot="1" x14ac:dyDescent="0.5">
      <c r="A46" s="228" t="s">
        <v>147</v>
      </c>
      <c r="B46" s="147" t="s">
        <v>150</v>
      </c>
      <c r="C46" s="177"/>
      <c r="F46" s="124" t="s">
        <v>490</v>
      </c>
      <c r="G46" s="124" t="s">
        <v>490</v>
      </c>
    </row>
    <row r="47" spans="1:7" ht="25.5" thickTop="1" thickBot="1" x14ac:dyDescent="0.5">
      <c r="A47" s="229"/>
      <c r="B47" s="238" t="str">
        <f>Text!B47</f>
        <v>Direct Briefs to male junior counsel</v>
      </c>
      <c r="C47" s="179"/>
      <c r="F47" s="124" t="s">
        <v>490</v>
      </c>
      <c r="G47" s="124" t="s">
        <v>490</v>
      </c>
    </row>
    <row r="48" spans="1:7" ht="25.5" thickTop="1" thickBot="1" x14ac:dyDescent="0.5">
      <c r="A48" s="229"/>
      <c r="B48" s="183" t="str">
        <f>Text!B48</f>
        <v>Total number</v>
      </c>
      <c r="C48" s="115">
        <v>7</v>
      </c>
      <c r="D48" s="123" t="str">
        <f>IF($B$45&lt;&gt;"Proceed below","",IF(AND($C$57&lt;&gt;"Check",C48=""),"E",IF(AND($C$57&lt;&gt;"Check",C48&lt;&gt;""),"",IF(NOT(ISNUMBER(C48)),"D",IF(AND(C48&gt;0,C49=0),"D",IF(AND(INT(C48)=C48,C48&lt;&gt;"",C48&gt;=0),"C","D"))))))</f>
        <v>C</v>
      </c>
      <c r="F48" s="124" t="s">
        <v>612</v>
      </c>
      <c r="G48" s="124" t="s">
        <v>490</v>
      </c>
    </row>
    <row r="49" spans="1:8" ht="25.5" thickTop="1" thickBot="1" x14ac:dyDescent="0.5">
      <c r="A49" s="229"/>
      <c r="B49" s="183" t="str">
        <f>Text!B49</f>
        <v>Total value</v>
      </c>
      <c r="C49" s="114">
        <v>6716</v>
      </c>
      <c r="D49" s="123" t="str">
        <f>IF($B$45&lt;&gt;"Proceed below","",IF(AND($C$57&lt;&gt;"Check",C49=""),"E",IF(AND($C$57&lt;&gt;"Check",C49&lt;&gt;""),"",IF(NOT(ISNUMBER(C49)),"D",IF(AND(C49=0,C48&gt;0),"D",IF(AND(INT(C49)=C49,C49&lt;&gt;"",C49&gt;=0),"C","D"))))))</f>
        <v>C</v>
      </c>
      <c r="F49" s="124" t="s">
        <v>612</v>
      </c>
      <c r="G49" s="124" t="s">
        <v>490</v>
      </c>
    </row>
    <row r="50" spans="1:8" ht="25.5" thickTop="1" thickBot="1" x14ac:dyDescent="0.5">
      <c r="A50" s="229"/>
      <c r="B50" s="238" t="str">
        <f>Text!B50</f>
        <v>Direct Briefs to female junior counsel</v>
      </c>
      <c r="C50" s="179"/>
      <c r="F50" s="124" t="s">
        <v>490</v>
      </c>
      <c r="G50" s="124" t="s">
        <v>490</v>
      </c>
    </row>
    <row r="51" spans="1:8" ht="25.5" thickTop="1" thickBot="1" x14ac:dyDescent="0.5">
      <c r="A51" s="229"/>
      <c r="B51" s="183" t="str">
        <f>Text!B51</f>
        <v>Total number</v>
      </c>
      <c r="C51" s="115">
        <v>2</v>
      </c>
      <c r="D51" s="123" t="str">
        <f>IF($B$45&lt;&gt;"Proceed below","",IF(AND($C$57&lt;&gt;"Check",C51=""),"E",IF(AND($C$57&lt;&gt;"Check",C51&lt;&gt;""),"",IF(NOT(ISNUMBER(C51)),"D",IF(AND(C51&gt;0,C52=0),"D",IF(AND(INT(C51)=C51,C51&lt;&gt;"",C51&gt;=0),"C","D"))))))</f>
        <v>C</v>
      </c>
      <c r="F51" s="124" t="s">
        <v>612</v>
      </c>
      <c r="G51" s="124" t="s">
        <v>490</v>
      </c>
    </row>
    <row r="52" spans="1:8" ht="25.5" thickTop="1" thickBot="1" x14ac:dyDescent="0.5">
      <c r="A52" s="229"/>
      <c r="B52" s="183" t="str">
        <f>Text!B52</f>
        <v>Total value</v>
      </c>
      <c r="C52" s="114">
        <v>6745</v>
      </c>
      <c r="D52" s="123" t="str">
        <f>IF($B$45&lt;&gt;"Proceed below","",IF(AND($C$57&lt;&gt;"Check",C52=""),"E",IF(AND($C$57&lt;&gt;"Check",C52&lt;&gt;""),"",IF(NOT(ISNUMBER(C52)),"D",IF(AND(C52=0,C51&gt;0),"D",IF(AND(INT(C52)=C52,C52&lt;&gt;"",C52&gt;=0),"C","D"))))))</f>
        <v>C</v>
      </c>
      <c r="F52" s="124" t="s">
        <v>612</v>
      </c>
      <c r="G52" s="124" t="s">
        <v>490</v>
      </c>
    </row>
    <row r="53" spans="1:8" ht="25.5" thickTop="1" thickBot="1" x14ac:dyDescent="0.5">
      <c r="A53" s="229"/>
      <c r="B53" s="238" t="str">
        <f>Text!B53</f>
        <v>Direct Briefs to gender X junior counsel</v>
      </c>
      <c r="C53" s="194"/>
      <c r="F53" s="124" t="s">
        <v>490</v>
      </c>
      <c r="G53" s="124" t="s">
        <v>490</v>
      </c>
    </row>
    <row r="54" spans="1:8" ht="25.5" thickTop="1" thickBot="1" x14ac:dyDescent="0.5">
      <c r="A54" s="229"/>
      <c r="B54" s="183" t="str">
        <f>Text!B54</f>
        <v>Total number</v>
      </c>
      <c r="C54" s="115">
        <v>0</v>
      </c>
      <c r="D54" s="123" t="str">
        <f>IF($B$45&lt;&gt;"Proceed below","",IF(AND($C$57&lt;&gt;"Check",C54=""),"E",IF(AND($C$57&lt;&gt;"Check",C54&lt;&gt;""),"",IF(NOT(ISNUMBER(C54)),"D",IF(AND(C54&gt;0,C55=0),"D",IF(AND(INT(C54)=C54,C54&lt;&gt;"",C54&gt;=0),"C","D"))))))</f>
        <v>C</v>
      </c>
      <c r="F54" s="124" t="s">
        <v>612</v>
      </c>
      <c r="G54" s="124" t="s">
        <v>490</v>
      </c>
    </row>
    <row r="55" spans="1:8" ht="25.5" thickTop="1" thickBot="1" x14ac:dyDescent="0.5">
      <c r="A55" s="229"/>
      <c r="B55" s="183" t="str">
        <f>Text!B55</f>
        <v>Total value</v>
      </c>
      <c r="C55" s="114">
        <v>0</v>
      </c>
      <c r="D55" s="123" t="str">
        <f>IF($B$45&lt;&gt;"Proceed below","",IF(AND($C$57&lt;&gt;"Check",C55=""),"E",IF(AND($C$57&lt;&gt;"Check",C55&lt;&gt;""),"",IF(NOT(ISNUMBER(C55)),"D",IF(AND(C55=0,C54&gt;0),"D",IF(AND(INT(C55)=C55,C55&lt;&gt;"",C55&gt;=0),"C","D"))))))</f>
        <v>C</v>
      </c>
      <c r="F55" s="124" t="s">
        <v>612</v>
      </c>
      <c r="G55" s="124" t="s">
        <v>490</v>
      </c>
    </row>
    <row r="56" spans="1:8" ht="27" customHeight="1" thickTop="1" thickBot="1" x14ac:dyDescent="0.5">
      <c r="A56" s="229"/>
      <c r="B56" s="154"/>
      <c r="C56" s="195"/>
      <c r="F56" s="124" t="s">
        <v>490</v>
      </c>
      <c r="G56" s="124" t="s">
        <v>490</v>
      </c>
      <c r="H56" s="124" t="s">
        <v>490</v>
      </c>
    </row>
    <row r="57" spans="1:8" ht="25.5" thickTop="1" thickBot="1" x14ac:dyDescent="0.5">
      <c r="A57" s="229"/>
      <c r="B57" s="236" t="str">
        <f>IF($B$45="Proceed below",Text!B57,"")</f>
        <v>Check details to proceed</v>
      </c>
      <c r="C57" s="113" t="s">
        <v>555</v>
      </c>
      <c r="D57" s="123" t="str">
        <f>IF(AND(B45="Proceed below",C48&lt;&gt;"",C49&lt;&gt;"",C51&lt;&gt;"",C52&lt;&gt;"",C54&lt;&gt;"",C55&lt;&gt;"",C57=""),"E","")</f>
        <v/>
      </c>
      <c r="E57" s="123" t="str">
        <f>IF(B57="Check details to proceed","O","")</f>
        <v>O</v>
      </c>
      <c r="F57" s="124" t="s">
        <v>612</v>
      </c>
      <c r="G57" s="124" t="s">
        <v>606</v>
      </c>
    </row>
    <row r="58" spans="1:8" ht="25.5" thickTop="1" thickBot="1" x14ac:dyDescent="0.5">
      <c r="A58" s="230"/>
      <c r="B58" s="189" t="str">
        <f>IF($B$45&lt;&gt;"Proceed below","",IF(AND(C57&lt;&gt;"Check",D57=""),"Section 2a incomplete",IF(AND(C57&lt;&gt;"Check",D57="E"),"Please select 'Check' from the drop down list",IF(OR(C48="",C49="",C51="",C52="",C54="",C55=""),"Cell cannot be left blank",IF(OR(NOT(ISNUMBER(C48)),NOT(ISNUMBER(C49)),NOT(ISNUMBER(C51)),NOT(ISNUMBER(C52)),NOT(ISNUMBER(C54)),NOT(ISNUMBER(C55))),"Please enter numbers only",IF(OR(INT(C48)&lt;&gt;C48,INT(C49)&lt;&gt;C49,INT(C51)&lt;&gt;C51,INT(C52)&lt;&gt;C52,INT(C54)&lt;&gt;C54,INT(C55)&lt;&gt;C55),"Please enter whole numbers only",IF(OR(C48&lt;0,C49&lt;0,C51&lt;0,C52&lt;0,C54&lt;0,C55&lt;0),"Entry cannot be negative amount",IF(OR(AND(C48&lt;&gt;0,C49=0),AND(C51&lt;&gt;0,C52=0),AND(C54&lt;&gt;0,C55=0)),"If number of briefs is greater than 0, value of briefs cannot be $0","Proceed below"))))))))</f>
        <v>Proceed below</v>
      </c>
      <c r="C58" s="193"/>
      <c r="F58" s="124" t="s">
        <v>490</v>
      </c>
      <c r="G58" s="124" t="s">
        <v>490</v>
      </c>
    </row>
    <row r="59" spans="1:8" ht="41.25" customHeight="1" thickTop="1" thickBot="1" x14ac:dyDescent="0.5">
      <c r="A59" s="229"/>
      <c r="B59" s="238" t="str">
        <f>Text!B59</f>
        <v>Indirect Briefs to male junior counsel</v>
      </c>
      <c r="C59" s="179"/>
      <c r="F59" s="124" t="s">
        <v>490</v>
      </c>
      <c r="G59" s="124" t="s">
        <v>490</v>
      </c>
    </row>
    <row r="60" spans="1:8" ht="25.5" thickTop="1" thickBot="1" x14ac:dyDescent="0.5">
      <c r="A60" s="229"/>
      <c r="B60" s="183" t="str">
        <f>Text!B60</f>
        <v>Total number</v>
      </c>
      <c r="C60" s="115">
        <v>5</v>
      </c>
      <c r="D60" s="123" t="str">
        <f>IF($B$58&lt;&gt;"Proceed below","",IF(AND($C$69&lt;&gt;"Check",C60=""),"E",IF(AND($C$69&lt;&gt;"Check",C60&lt;&gt;""),"",IF(NOT(ISNUMBER(C60)),"D",IF(AND(C60&gt;0,C61=0),"D",IF(AND(INT(C60)=C60,C60&lt;&gt;"",C60&gt;=0),"C","D"))))))</f>
        <v>C</v>
      </c>
      <c r="F60" s="124" t="s">
        <v>612</v>
      </c>
      <c r="G60" s="124" t="s">
        <v>490</v>
      </c>
    </row>
    <row r="61" spans="1:8" ht="25.5" thickTop="1" thickBot="1" x14ac:dyDescent="0.5">
      <c r="A61" s="229"/>
      <c r="B61" s="183" t="str">
        <f>Text!B61</f>
        <v>Total value</v>
      </c>
      <c r="C61" s="114">
        <v>65213</v>
      </c>
      <c r="D61" s="123" t="str">
        <f>IF($B$58&lt;&gt;"Proceed below","",IF(AND($C$69&lt;&gt;"Check",C61=""),"E",IF(AND($C$69&lt;&gt;"Check",C61&lt;&gt;""),"",IF(NOT(ISNUMBER(C61)),"D",IF(AND(C61=0,C60&gt;0),"D",IF(AND(INT(C61)=C61,C61&lt;&gt;"",C61&gt;=0),"C","D"))))))</f>
        <v>C</v>
      </c>
      <c r="F61" s="124" t="s">
        <v>612</v>
      </c>
      <c r="G61" s="124" t="s">
        <v>490</v>
      </c>
    </row>
    <row r="62" spans="1:8" ht="25.5" thickTop="1" thickBot="1" x14ac:dyDescent="0.5">
      <c r="A62" s="229"/>
      <c r="B62" s="238" t="str">
        <f>Text!B62</f>
        <v>Indirect Briefs to female junior counsel</v>
      </c>
      <c r="C62" s="179"/>
      <c r="F62" s="124" t="s">
        <v>490</v>
      </c>
      <c r="G62" s="124" t="s">
        <v>490</v>
      </c>
    </row>
    <row r="63" spans="1:8" ht="25.5" thickTop="1" thickBot="1" x14ac:dyDescent="0.5">
      <c r="A63" s="229"/>
      <c r="B63" s="183" t="str">
        <f>Text!B63</f>
        <v>Total number</v>
      </c>
      <c r="C63" s="115">
        <v>7</v>
      </c>
      <c r="D63" s="123" t="str">
        <f>IF($B$58&lt;&gt;"Proceed below","",IF(AND($C$69&lt;&gt;"Check",C63=""),"E",IF(AND($C$69&lt;&gt;"Check",C63&lt;&gt;""),"",IF(NOT(ISNUMBER(C63)),"D",IF(AND(C63&gt;0,C64=0),"D",IF(AND(INT(C63)=C63,C63&lt;&gt;"",C63&gt;=0),"C","D"))))))</f>
        <v>C</v>
      </c>
      <c r="F63" s="124" t="s">
        <v>612</v>
      </c>
      <c r="G63" s="124" t="s">
        <v>490</v>
      </c>
    </row>
    <row r="64" spans="1:8" ht="25.5" thickTop="1" thickBot="1" x14ac:dyDescent="0.5">
      <c r="A64" s="229"/>
      <c r="B64" s="183" t="str">
        <f>Text!B64</f>
        <v>Total value</v>
      </c>
      <c r="C64" s="114">
        <v>69587</v>
      </c>
      <c r="D64" s="123" t="str">
        <f>IF($B$58&lt;&gt;"Proceed below","",IF(AND($C$69&lt;&gt;"Check",C64=""),"E",IF(AND($C$69&lt;&gt;"Check",C64&lt;&gt;""),"",IF(NOT(ISNUMBER(C64)),"D",IF(AND(C64=0,C63&gt;0),"D",IF(AND(INT(C64)=C64,C64&lt;&gt;"",C64&gt;=0),"C","D"))))))</f>
        <v>C</v>
      </c>
      <c r="F64" s="124" t="s">
        <v>612</v>
      </c>
      <c r="G64" s="124" t="s">
        <v>490</v>
      </c>
    </row>
    <row r="65" spans="1:7" ht="25.5" thickTop="1" thickBot="1" x14ac:dyDescent="0.5">
      <c r="A65" s="229"/>
      <c r="B65" s="238" t="str">
        <f>Text!B65</f>
        <v>Indirect Briefs to gender X junior counsel</v>
      </c>
      <c r="C65" s="194"/>
      <c r="F65" s="124" t="s">
        <v>490</v>
      </c>
      <c r="G65" s="124" t="s">
        <v>490</v>
      </c>
    </row>
    <row r="66" spans="1:7" ht="25.5" thickTop="1" thickBot="1" x14ac:dyDescent="0.5">
      <c r="A66" s="229"/>
      <c r="B66" s="183" t="str">
        <f>Text!B66</f>
        <v>Total number</v>
      </c>
      <c r="C66" s="115">
        <v>0</v>
      </c>
      <c r="D66" s="123" t="str">
        <f>IF($B$58&lt;&gt;"Proceed below","",IF(AND($C$69&lt;&gt;"Check",C66=""),"E",IF(AND($C$69&lt;&gt;"Check",C66&lt;&gt;""),"",IF(NOT(ISNUMBER(C66)),"D",IF(AND(C66&gt;0,C67=0),"D",IF(AND(INT(C66)=C66,C66&lt;&gt;"",C66&gt;=0),"C","D"))))))</f>
        <v>C</v>
      </c>
      <c r="F66" s="124" t="s">
        <v>612</v>
      </c>
      <c r="G66" s="124" t="s">
        <v>490</v>
      </c>
    </row>
    <row r="67" spans="1:7" ht="25.5" thickTop="1" thickBot="1" x14ac:dyDescent="0.5">
      <c r="A67" s="229"/>
      <c r="B67" s="183" t="str">
        <f>Text!B67</f>
        <v>Total value</v>
      </c>
      <c r="C67" s="114">
        <v>0</v>
      </c>
      <c r="D67" s="123" t="str">
        <f>IF($B$58&lt;&gt;"Proceed below","",IF(AND($C$69&lt;&gt;"Check",C67=""),"E",IF(AND($C$69&lt;&gt;"Check",C67&lt;&gt;""),"",IF(NOT(ISNUMBER(C67)),"D",IF(AND(C67=0,C66&gt;0),"D",IF(AND(INT(C67)=C67,C67&lt;&gt;"",C67&gt;=0),"C","D"))))))</f>
        <v>C</v>
      </c>
      <c r="F67" s="124" t="s">
        <v>612</v>
      </c>
      <c r="G67" s="124" t="s">
        <v>490</v>
      </c>
    </row>
    <row r="68" spans="1:7" ht="27.75" customHeight="1" thickTop="1" thickBot="1" x14ac:dyDescent="0.5">
      <c r="A68" s="229"/>
      <c r="B68" s="154"/>
      <c r="C68" s="195"/>
      <c r="F68" s="124" t="s">
        <v>490</v>
      </c>
      <c r="G68" s="124" t="s">
        <v>490</v>
      </c>
    </row>
    <row r="69" spans="1:7" ht="25.5" thickTop="1" thickBot="1" x14ac:dyDescent="0.5">
      <c r="A69" s="229"/>
      <c r="B69" s="236" t="str">
        <f>IF($B$58="Proceed below",Text!B69,"")</f>
        <v>Check details to proceed</v>
      </c>
      <c r="C69" s="113" t="s">
        <v>555</v>
      </c>
      <c r="D69" s="123" t="str">
        <f>IF(AND(B58="Proceed below",C60&lt;&gt;"",C61&lt;&gt;"",C63&lt;&gt;"",C64&lt;&gt;"",C66&lt;&gt;"",C67&lt;&gt;"",C69=""),"E","")</f>
        <v/>
      </c>
      <c r="E69" s="123" t="str">
        <f>IF(B69="Check details to proceed","O","")</f>
        <v>O</v>
      </c>
      <c r="F69" s="124" t="s">
        <v>612</v>
      </c>
      <c r="G69" s="124" t="s">
        <v>606</v>
      </c>
    </row>
    <row r="70" spans="1:7" ht="25.5" thickTop="1" thickBot="1" x14ac:dyDescent="0.5">
      <c r="A70" s="230"/>
      <c r="B70" s="189" t="str">
        <f>IF($B$58&lt;&gt;"Proceed below","",IF(AND(C69&lt;&gt;"Check",D69=""),"Section 2a incomplete",IF(AND(C69&lt;&gt;"Check",D69="E"),"Please select 'Check' from the drop down list",IF(OR(C60="",C61="",C63="",C64="",C66="",C67=""),"Cell cannot be left blank",IF(OR(NOT(ISNUMBER(C60)),NOT(ISNUMBER(C61)),NOT(ISNUMBER(C63)),NOT(ISNUMBER(C64)),NOT(ISNUMBER(C66)),NOT(ISNUMBER(C67))),"Please enter numbers only",IF(OR(INT(C60)&lt;&gt;C60,INT(C61)&lt;&gt;C61,INT(C63)&lt;&gt;C63,INT(C64)&lt;&gt;C64,INT(C66)&lt;&gt;C66,INT(C67)&lt;&gt;C67),"Please enter whole numbers only",IF(OR(C60&lt;0,C61&lt;0,C63&lt;0,C64&lt;0,C66&lt;0,C67&lt;0),"Entry cannot be negative amount",IF(OR(AND(C60&lt;&gt;0,C61=0),AND(C63&lt;&gt;0,C64=0),AND(C66&lt;&gt;0,C67=0)),"If number of briefs is greater than 0, value of briefs cannot be $0","Proceed below"))))))))</f>
        <v>Proceed below</v>
      </c>
      <c r="C70" s="193"/>
      <c r="F70" s="124" t="s">
        <v>490</v>
      </c>
      <c r="G70" s="124" t="s">
        <v>490</v>
      </c>
    </row>
    <row r="71" spans="1:7" ht="43.5" customHeight="1" thickTop="1" thickBot="1" x14ac:dyDescent="0.5">
      <c r="A71" s="228" t="s">
        <v>149</v>
      </c>
      <c r="B71" s="147" t="s">
        <v>148</v>
      </c>
      <c r="C71" s="177"/>
      <c r="F71" s="124" t="s">
        <v>490</v>
      </c>
      <c r="G71" s="124" t="s">
        <v>490</v>
      </c>
    </row>
    <row r="72" spans="1:7" ht="25.5" thickTop="1" thickBot="1" x14ac:dyDescent="0.5">
      <c r="A72" s="229"/>
      <c r="B72" s="238" t="str">
        <f>Text!B72</f>
        <v>Direct Briefs to male senior counsel</v>
      </c>
      <c r="C72" s="179"/>
      <c r="F72" s="124" t="s">
        <v>490</v>
      </c>
      <c r="G72" s="124" t="s">
        <v>490</v>
      </c>
    </row>
    <row r="73" spans="1:7" ht="25.5" thickTop="1" thickBot="1" x14ac:dyDescent="0.5">
      <c r="A73" s="229"/>
      <c r="B73" s="183" t="str">
        <f>Text!B73</f>
        <v>Total number</v>
      </c>
      <c r="C73" s="115">
        <v>1</v>
      </c>
      <c r="D73" s="123" t="str">
        <f>IF($B$70&lt;&gt;"Proceed below","",IF(AND($C$82&lt;&gt;"Check",C73=""),"E",IF(AND($C$82&lt;&gt;"Check",C73&lt;&gt;""),"",IF(NOT(ISNUMBER(C73)),"D",IF(AND(C73&gt;0,C74=0),"D",IF(AND(INT(C73)=C73,C73&lt;&gt;"",C73&gt;=0),"C","D"))))))</f>
        <v>C</v>
      </c>
      <c r="F73" s="124" t="s">
        <v>612</v>
      </c>
      <c r="G73" s="124" t="s">
        <v>490</v>
      </c>
    </row>
    <row r="74" spans="1:7" ht="25.5" thickTop="1" thickBot="1" x14ac:dyDescent="0.5">
      <c r="A74" s="229"/>
      <c r="B74" s="183" t="str">
        <f>Text!B74</f>
        <v>Total value</v>
      </c>
      <c r="C74" s="114">
        <v>1312</v>
      </c>
      <c r="D74" s="123" t="str">
        <f>IF($B$70&lt;&gt;"Proceed below","",IF(AND($C$82&lt;&gt;"Check",C74=""),"E",IF(AND($C$82&lt;&gt;"Check",C74&lt;&gt;""),"",IF(NOT(ISNUMBER(C74)),"D",IF(AND(C74=0,C73&gt;0),"D",IF(AND(INT(C74)=C74,C74&lt;&gt;"",C74&gt;=0),"C","D"))))))</f>
        <v>C</v>
      </c>
      <c r="F74" s="124" t="s">
        <v>612</v>
      </c>
      <c r="G74" s="124" t="s">
        <v>490</v>
      </c>
    </row>
    <row r="75" spans="1:7" ht="25.5" thickTop="1" thickBot="1" x14ac:dyDescent="0.5">
      <c r="A75" s="229"/>
      <c r="B75" s="238" t="str">
        <f>Text!B75</f>
        <v>Direct Briefs to female senior counsel</v>
      </c>
      <c r="C75" s="179"/>
      <c r="F75" s="124" t="s">
        <v>490</v>
      </c>
      <c r="G75" s="124" t="s">
        <v>490</v>
      </c>
    </row>
    <row r="76" spans="1:7" ht="25.5" thickTop="1" thickBot="1" x14ac:dyDescent="0.5">
      <c r="A76" s="229"/>
      <c r="B76" s="183" t="str">
        <f>Text!B76</f>
        <v>Total number</v>
      </c>
      <c r="C76" s="115">
        <v>10</v>
      </c>
      <c r="D76" s="123" t="str">
        <f>IF($B$70&lt;&gt;"Proceed below","",IF(AND($C$82&lt;&gt;"Check",C76=""),"E",IF(AND($C$82&lt;&gt;"Check",C76&lt;&gt;""),"",IF(NOT(ISNUMBER(C76)),"D",IF(AND(C76&gt;0,C77=0),"D",IF(AND(INT(C76)=C76,C76&lt;&gt;"",C76&gt;=0),"C","D"))))))</f>
        <v>C</v>
      </c>
      <c r="F76" s="124" t="s">
        <v>612</v>
      </c>
      <c r="G76" s="124" t="s">
        <v>490</v>
      </c>
    </row>
    <row r="77" spans="1:7" ht="25.5" thickTop="1" thickBot="1" x14ac:dyDescent="0.5">
      <c r="A77" s="229"/>
      <c r="B77" s="183" t="str">
        <f>Text!B77</f>
        <v>Total value</v>
      </c>
      <c r="C77" s="114">
        <v>185779</v>
      </c>
      <c r="D77" s="123" t="str">
        <f>IF($B$70&lt;&gt;"Proceed below","",IF(AND($C$82&lt;&gt;"Check",C77=""),"E",IF(AND($C$82&lt;&gt;"Check",C77&lt;&gt;""),"",IF(NOT(ISNUMBER(C77)),"D",IF(AND(C77=0,C76&gt;0),"D",IF(AND(INT(C77)=C77,C77&lt;&gt;"",C77&gt;=0),"C","D"))))))</f>
        <v>C</v>
      </c>
      <c r="F77" s="124" t="s">
        <v>612</v>
      </c>
      <c r="G77" s="124" t="s">
        <v>490</v>
      </c>
    </row>
    <row r="78" spans="1:7" ht="25.5" thickTop="1" thickBot="1" x14ac:dyDescent="0.5">
      <c r="A78" s="229"/>
      <c r="B78" s="238" t="str">
        <f>Text!B78</f>
        <v>Direct Briefs to gender X senior counsel</v>
      </c>
      <c r="C78" s="194"/>
      <c r="F78" s="124" t="s">
        <v>490</v>
      </c>
      <c r="G78" s="124" t="s">
        <v>490</v>
      </c>
    </row>
    <row r="79" spans="1:7" ht="25.5" thickTop="1" thickBot="1" x14ac:dyDescent="0.5">
      <c r="A79" s="229"/>
      <c r="B79" s="183" t="str">
        <f>Text!B79</f>
        <v>Total number</v>
      </c>
      <c r="C79" s="115">
        <v>0</v>
      </c>
      <c r="D79" s="123" t="str">
        <f>IF($B$70&lt;&gt;"Proceed below","",IF(AND($C$82&lt;&gt;"Check",C79=""),"E",IF(AND($C$82&lt;&gt;"Check",C79&lt;&gt;""),"",IF(NOT(ISNUMBER(C79)),"D",IF(AND(C79&gt;0,C80=0),"D",IF(AND(INT(C79)=C79,C79&lt;&gt;"",C79&gt;=0),"C","D"))))))</f>
        <v>C</v>
      </c>
      <c r="F79" s="124" t="s">
        <v>612</v>
      </c>
      <c r="G79" s="124" t="s">
        <v>490</v>
      </c>
    </row>
    <row r="80" spans="1:7" ht="25.5" thickTop="1" thickBot="1" x14ac:dyDescent="0.5">
      <c r="A80" s="229"/>
      <c r="B80" s="183" t="str">
        <f>Text!B80</f>
        <v>Total value</v>
      </c>
      <c r="C80" s="114">
        <v>0</v>
      </c>
      <c r="D80" s="123" t="str">
        <f>IF($B$70&lt;&gt;"Proceed below","",IF(AND($C$82&lt;&gt;"Check",C80=""),"E",IF(AND($C$82&lt;&gt;"Check",C80&lt;&gt;""),"",IF(NOT(ISNUMBER(C80)),"D",IF(AND(C80=0,C79&gt;0),"D",IF(AND(INT(C80)=C80,C80&lt;&gt;"",C80&gt;=0),"C","D"))))))</f>
        <v>C</v>
      </c>
      <c r="F80" s="124" t="s">
        <v>612</v>
      </c>
      <c r="G80" s="124" t="s">
        <v>490</v>
      </c>
    </row>
    <row r="81" spans="1:7" ht="31.5" customHeight="1" thickTop="1" thickBot="1" x14ac:dyDescent="0.5">
      <c r="A81" s="229"/>
      <c r="B81" s="154"/>
      <c r="C81" s="195"/>
      <c r="F81" s="124" t="s">
        <v>490</v>
      </c>
      <c r="G81" s="124" t="s">
        <v>490</v>
      </c>
    </row>
    <row r="82" spans="1:7" ht="25.5" thickTop="1" thickBot="1" x14ac:dyDescent="0.5">
      <c r="A82" s="229"/>
      <c r="B82" s="236" t="str">
        <f>IF($B$70="Proceed below",Text!B82,"")</f>
        <v>Check details to proceed</v>
      </c>
      <c r="C82" s="113" t="s">
        <v>555</v>
      </c>
      <c r="D82" s="123" t="str">
        <f>IF(AND(B70="Proceed below",C73&lt;&gt;"",C74&lt;&gt;"",C76&lt;&gt;"",C77&lt;&gt;"",C79&lt;&gt;"",C80&lt;&gt;"",C82=""),"E","")</f>
        <v/>
      </c>
      <c r="E82" s="123" t="str">
        <f>IF(B82="Check details to proceed","O","")</f>
        <v>O</v>
      </c>
      <c r="F82" s="124" t="s">
        <v>612</v>
      </c>
      <c r="G82" s="124" t="s">
        <v>606</v>
      </c>
    </row>
    <row r="83" spans="1:7" ht="25.5" thickTop="1" thickBot="1" x14ac:dyDescent="0.5">
      <c r="A83" s="230"/>
      <c r="B83" s="189" t="str">
        <f>IF($B$70&lt;&gt;"Proceed below","",IF(AND(C82&lt;&gt;"Check",D82=""),"Section 2b incomplete",IF(AND(C82&lt;&gt;"Check",D82="E"),"Please select 'Check' from the drop down list",IF(OR(C73="",C74="",C76="",C77="",C79="",C80=""),"Cell cannot be left blank",IF(OR(NOT(ISNUMBER(C73)),NOT(ISNUMBER(C74)),NOT(ISNUMBER(C76)),NOT(ISNUMBER(C77)),NOT(ISNUMBER(C79)),NOT(ISNUMBER(C80))),"Please enter numbers only",IF(OR(INT(C73)&lt;&gt;C73,INT(C74)&lt;&gt;C74,INT(C76)&lt;&gt;C76,INT(C77)&lt;&gt;C77,INT(C79)&lt;&gt;C79,INT(C80)&lt;&gt;C80),"Please enter whole numbers only",IF(OR(C73&lt;0,C74&lt;0,C76&lt;0,C77&lt;0,C79&lt;0,C80&lt;0),"Entry cannot be negative amount",IF(OR(AND(C73&lt;&gt;0,C74=0),AND(C76&lt;&gt;0,C77=0),AND(C79&lt;&gt;0,C80=0)),"If number of briefs is greater than 0, value of briefs cannot be $0","Proceed below"))))))))</f>
        <v>Proceed below</v>
      </c>
      <c r="C83" s="193"/>
      <c r="F83" s="124" t="s">
        <v>490</v>
      </c>
      <c r="G83" s="124" t="s">
        <v>490</v>
      </c>
    </row>
    <row r="84" spans="1:7" ht="38.5" customHeight="1" thickTop="1" thickBot="1" x14ac:dyDescent="0.5">
      <c r="A84" s="229"/>
      <c r="B84" s="238" t="str">
        <f>Text!B84</f>
        <v>Indirect Briefs to male senior counsel</v>
      </c>
      <c r="C84" s="179"/>
      <c r="F84" s="124" t="s">
        <v>490</v>
      </c>
      <c r="G84" s="124" t="s">
        <v>490</v>
      </c>
    </row>
    <row r="85" spans="1:7" ht="25.5" thickTop="1" thickBot="1" x14ac:dyDescent="0.5">
      <c r="A85" s="229"/>
      <c r="B85" s="183" t="str">
        <f>Text!B85</f>
        <v>Total number</v>
      </c>
      <c r="C85" s="115">
        <v>5</v>
      </c>
      <c r="D85" s="123" t="str">
        <f>IF($B$83&lt;&gt;"Proceed below","",IF(AND($C$94&lt;&gt;"Check",C85=""),"E",IF(AND($C$94&lt;&gt;"Check",C85&lt;&gt;""),"",IF(NOT(ISNUMBER(C85)),"D",IF(AND(C85&gt;0,C86=0),"D",IF(AND(INT(C85)=C85,C85&lt;&gt;"",C85&gt;=0),"C","D"))))))</f>
        <v>C</v>
      </c>
      <c r="F85" s="124" t="s">
        <v>612</v>
      </c>
      <c r="G85" s="124" t="s">
        <v>490</v>
      </c>
    </row>
    <row r="86" spans="1:7" ht="25.5" thickTop="1" thickBot="1" x14ac:dyDescent="0.5">
      <c r="A86" s="229"/>
      <c r="B86" s="183" t="str">
        <f>Text!B86</f>
        <v>Total value</v>
      </c>
      <c r="C86" s="114">
        <v>59412</v>
      </c>
      <c r="D86" s="123" t="str">
        <f>IF($B$83&lt;&gt;"Proceed below","",IF(AND($C$94&lt;&gt;"Check",C86=""),"E",IF(AND($C$94&lt;&gt;"Check",C86&lt;&gt;""),"",IF(NOT(ISNUMBER(C86)),"D",IF(AND(C86=0,C85&gt;0),"D",IF(AND(INT(C86)=C86,C86&lt;&gt;"",C86&gt;=0),"C","D"))))))</f>
        <v>C</v>
      </c>
      <c r="F86" s="124" t="s">
        <v>612</v>
      </c>
      <c r="G86" s="124" t="s">
        <v>490</v>
      </c>
    </row>
    <row r="87" spans="1:7" ht="25.5" thickTop="1" thickBot="1" x14ac:dyDescent="0.5">
      <c r="A87" s="229"/>
      <c r="B87" s="238" t="str">
        <f>Text!B87</f>
        <v>Indirect Briefs to female senior counsel</v>
      </c>
      <c r="C87" s="179"/>
      <c r="F87" s="124" t="s">
        <v>490</v>
      </c>
      <c r="G87" s="124" t="s">
        <v>490</v>
      </c>
    </row>
    <row r="88" spans="1:7" ht="25.5" thickTop="1" thickBot="1" x14ac:dyDescent="0.5">
      <c r="A88" s="229"/>
      <c r="B88" s="183" t="str">
        <f>Text!B88</f>
        <v>Total number</v>
      </c>
      <c r="C88" s="115">
        <v>4</v>
      </c>
      <c r="D88" s="123" t="str">
        <f>IF($B$83&lt;&gt;"Proceed below","",IF(AND($C$94&lt;&gt;"Check",C88=""),"E",IF(AND($C$94&lt;&gt;"Check",C88&lt;&gt;""),"",IF(NOT(ISNUMBER(C88)),"D",IF(AND(C88&gt;0,C89=0),"D",IF(AND(INT(C88)=C88,C88&lt;&gt;"",C88&gt;=0),"C","D"))))))</f>
        <v>C</v>
      </c>
      <c r="F88" s="124" t="s">
        <v>612</v>
      </c>
      <c r="G88" s="124" t="s">
        <v>490</v>
      </c>
    </row>
    <row r="89" spans="1:7" ht="25.5" thickTop="1" thickBot="1" x14ac:dyDescent="0.5">
      <c r="A89" s="229"/>
      <c r="B89" s="183" t="str">
        <f>Text!B89</f>
        <v>Total value</v>
      </c>
      <c r="C89" s="114">
        <v>66098</v>
      </c>
      <c r="D89" s="123" t="str">
        <f>IF($B$83&lt;&gt;"Proceed below","",IF(AND($C$94&lt;&gt;"Check",C89=""),"E",IF(AND($C$94&lt;&gt;"Check",C89&lt;&gt;""),"",IF(NOT(ISNUMBER(C89)),"D",IF(AND(C89=0,C88&gt;0),"D",IF(AND(INT(C89)=C89,C89&lt;&gt;"",C89&gt;=0),"C","D"))))))</f>
        <v>C</v>
      </c>
      <c r="F89" s="124" t="s">
        <v>612</v>
      </c>
      <c r="G89" s="124" t="s">
        <v>490</v>
      </c>
    </row>
    <row r="90" spans="1:7" ht="25.5" thickTop="1" thickBot="1" x14ac:dyDescent="0.5">
      <c r="A90" s="229"/>
      <c r="B90" s="238" t="str">
        <f>Text!B90</f>
        <v>Indirect Briefs to gender X senior counsel</v>
      </c>
      <c r="C90" s="194"/>
      <c r="F90" s="124" t="s">
        <v>490</v>
      </c>
      <c r="G90" s="124" t="s">
        <v>490</v>
      </c>
    </row>
    <row r="91" spans="1:7" ht="25.5" thickTop="1" thickBot="1" x14ac:dyDescent="0.5">
      <c r="A91" s="229"/>
      <c r="B91" s="183" t="str">
        <f>Text!B91</f>
        <v>Total number</v>
      </c>
      <c r="C91" s="115">
        <v>0</v>
      </c>
      <c r="D91" s="123" t="str">
        <f>IF($B$83&lt;&gt;"Proceed below","",IF(AND($C$94&lt;&gt;"Check",C91=""),"E",IF(AND($C$94&lt;&gt;"Check",C91&lt;&gt;""),"",IF(NOT(ISNUMBER(C91)),"D",IF(AND(C91&gt;0,C92=0),"D",IF(AND(INT(C91)=C91,C91&lt;&gt;"",C91&gt;=0),"C","D"))))))</f>
        <v>C</v>
      </c>
      <c r="F91" s="124" t="s">
        <v>612</v>
      </c>
      <c r="G91" s="124" t="s">
        <v>490</v>
      </c>
    </row>
    <row r="92" spans="1:7" ht="25.5" thickTop="1" thickBot="1" x14ac:dyDescent="0.5">
      <c r="A92" s="229"/>
      <c r="B92" s="183" t="str">
        <f>Text!B92</f>
        <v>Total value</v>
      </c>
      <c r="C92" s="114">
        <v>0</v>
      </c>
      <c r="D92" s="123" t="str">
        <f>IF($B$83&lt;&gt;"Proceed below","",IF(AND($C$94&lt;&gt;"Check",C92=""),"E",IF(AND($C$94&lt;&gt;"Check",C92&lt;&gt;""),"",IF(NOT(ISNUMBER(C92)),"D",IF(AND(C92=0,C91&gt;0),"D",IF(AND(INT(C92)=C92,C92&lt;&gt;"",C92&gt;=0),"C","D"))))))</f>
        <v>C</v>
      </c>
      <c r="F92" s="124" t="s">
        <v>612</v>
      </c>
      <c r="G92" s="124" t="s">
        <v>490</v>
      </c>
    </row>
    <row r="93" spans="1:7" ht="31.5" customHeight="1" thickTop="1" thickBot="1" x14ac:dyDescent="0.5">
      <c r="A93" s="229"/>
      <c r="B93" s="154"/>
      <c r="C93" s="195"/>
      <c r="F93" s="124" t="s">
        <v>490</v>
      </c>
      <c r="G93" s="124" t="s">
        <v>490</v>
      </c>
    </row>
    <row r="94" spans="1:7" ht="25.5" thickTop="1" thickBot="1" x14ac:dyDescent="0.5">
      <c r="A94" s="229"/>
      <c r="B94" s="236" t="str">
        <f>IF($B$83="Proceed below",Text!B94,"")</f>
        <v>Check details to proceed</v>
      </c>
      <c r="C94" s="113" t="s">
        <v>555</v>
      </c>
      <c r="D94" s="123" t="str">
        <f>IF(AND(B83="Proceed below",C85&lt;&gt;"",C86&lt;&gt;"",C88&lt;&gt;"",C89&lt;&gt;"",C91&lt;&gt;"",C92&lt;&gt;"",C94=""),"E","")</f>
        <v/>
      </c>
      <c r="E94" s="123" t="str">
        <f>IF(B94="Check details to proceed","O","")</f>
        <v>O</v>
      </c>
      <c r="F94" s="124" t="s">
        <v>612</v>
      </c>
      <c r="G94" s="124" t="s">
        <v>606</v>
      </c>
    </row>
    <row r="95" spans="1:7" ht="25.5" thickTop="1" thickBot="1" x14ac:dyDescent="0.5">
      <c r="A95" s="230"/>
      <c r="B95" s="189" t="str">
        <f>IF($B$83&lt;&gt;"Proceed below","",IF(AND(C94&lt;&gt;"Check",D94=""),"Section 2b incomplete",IF(AND(C94&lt;&gt;"Check",D94="E"),"Please select 'Check' from the drop down list",IF(OR(C85="",C86="",C88="",C89="",C91="",C92=""),"Cell cannot be left blank",IF(OR(NOT(ISNUMBER(C85)),NOT(ISNUMBER(C86)),NOT(ISNUMBER(C88)),NOT(ISNUMBER(C89)),NOT(ISNUMBER(C91)),NOT(ISNUMBER(C92))),"Please enter numbers only",IF(OR(INT(C85)&lt;&gt;C85,INT(C86)&lt;&gt;C86,INT(C88)&lt;&gt;C88,INT(C89)&lt;&gt;C89,INT(C91)&lt;&gt;C91,INT(C92)&lt;&gt;C92),"Please enter whole numbers only",IF(OR(C85&lt;0,C86&lt;0,C88&lt;0,C89&lt;0,C91&lt;0,C92&lt;0),"Entry cannot be negative amount",IF(OR(AND(C85&lt;&gt;0,C86=0),AND(C88&lt;&gt;0,C89=0),AND(C91&lt;&gt;0,C92=0)),"If number of briefs is greater than 0, value of briefs cannot be $0","Proceed below"))))))))</f>
        <v>Proceed below</v>
      </c>
      <c r="C95" s="193"/>
      <c r="F95" s="124" t="s">
        <v>490</v>
      </c>
      <c r="G95" s="124" t="s">
        <v>490</v>
      </c>
    </row>
    <row r="96" spans="1:7" ht="38.15" customHeight="1" thickTop="1" thickBot="1" x14ac:dyDescent="0.5">
      <c r="A96" s="228" t="s">
        <v>152</v>
      </c>
      <c r="B96" s="147" t="s">
        <v>153</v>
      </c>
      <c r="C96" s="177"/>
      <c r="F96" s="124" t="s">
        <v>490</v>
      </c>
      <c r="G96" s="124" t="s">
        <v>490</v>
      </c>
    </row>
    <row r="97" spans="1:7" ht="49.5" customHeight="1" thickTop="1" x14ac:dyDescent="0.45">
      <c r="A97" s="215" t="str">
        <f>Text!A97</f>
        <v>What is this section?</v>
      </c>
      <c r="B97" s="135" t="str">
        <f>Text!B97</f>
        <v xml:space="preserve">
In this section you are required to report the total value of your entity’s expenditure on disbursements. 
</v>
      </c>
      <c r="C97" s="179"/>
      <c r="F97" s="124" t="s">
        <v>490</v>
      </c>
      <c r="G97" s="124" t="s">
        <v>490</v>
      </c>
    </row>
    <row r="98" spans="1:7" ht="82.5" customHeight="1" x14ac:dyDescent="0.45">
      <c r="A98" s="215" t="str">
        <f>Text!A98</f>
        <v>What are disbursements?</v>
      </c>
      <c r="B98" s="135" t="str">
        <f>Text!B98</f>
        <v xml:space="preserve">
Disbursements are costs incurred for goods and services that are not counsel or professional fees.
Disbursements could include fees paid to expert witnesses, court fees, travel and accommodation costs and administrative fees such as binding and copying.
</v>
      </c>
      <c r="C98" s="179"/>
      <c r="F98" s="124" t="s">
        <v>490</v>
      </c>
      <c r="G98" s="124" t="s">
        <v>490</v>
      </c>
    </row>
    <row r="99" spans="1:7" ht="61.5" customHeight="1" x14ac:dyDescent="0.45">
      <c r="A99" s="215" t="str">
        <f>Text!A99</f>
        <v>How are disbursements reported?</v>
      </c>
      <c r="B99" s="135" t="str">
        <f>Text!B99</f>
        <v xml:space="preserve">
The figure must be a whole dollar amount, GST exclusive. Figures including cents will not be accepted. If there were no disbursements, enter '0' for a total value of $0. 
</v>
      </c>
      <c r="C99" s="179"/>
      <c r="F99" s="124" t="s">
        <v>490</v>
      </c>
      <c r="G99" s="124" t="s">
        <v>490</v>
      </c>
    </row>
    <row r="100" spans="1:7" ht="29.5" customHeight="1" thickBot="1" x14ac:dyDescent="0.5">
      <c r="A100" s="215"/>
      <c r="B100" s="180"/>
      <c r="C100" s="179"/>
      <c r="F100" s="124" t="s">
        <v>490</v>
      </c>
      <c r="G100" s="124" t="s">
        <v>490</v>
      </c>
    </row>
    <row r="101" spans="1:7" ht="25.5" thickTop="1" thickBot="1" x14ac:dyDescent="0.5">
      <c r="A101" s="229"/>
      <c r="B101" s="236" t="str">
        <f>IF($B$95&lt;&gt;"Proceed below","",Text!B101)</f>
        <v>Please confirm you have read and understood the Disbursements explainer</v>
      </c>
      <c r="C101" s="113" t="s">
        <v>141</v>
      </c>
      <c r="D101" s="123" t="str">
        <f>IF(AND(B95="Proceed below",C101=""),"E","")</f>
        <v/>
      </c>
      <c r="E101" s="123" t="str">
        <f>IF(B101=Text!B101,"E","")</f>
        <v>E</v>
      </c>
      <c r="F101" s="124" t="s">
        <v>612</v>
      </c>
      <c r="G101" s="124" t="s">
        <v>605</v>
      </c>
    </row>
    <row r="102" spans="1:7" ht="25.5" thickTop="1" thickBot="1" x14ac:dyDescent="0.5">
      <c r="A102" s="230"/>
      <c r="B102" s="189" t="str">
        <f>IF($B$95&lt;&gt;"Proceed below","",IF($C$101="Yes","Proceed below",IF($C$101="No","Contact OLSC for assistance","Read the explainer then select 'Yes' or 'No' from the drop down list")))</f>
        <v>Proceed below</v>
      </c>
      <c r="C102" s="193"/>
      <c r="F102" s="124" t="s">
        <v>490</v>
      </c>
      <c r="G102" s="124" t="s">
        <v>490</v>
      </c>
    </row>
    <row r="103" spans="1:7" ht="37" customHeight="1" thickTop="1" thickBot="1" x14ac:dyDescent="0.5">
      <c r="A103" s="228" t="s">
        <v>152</v>
      </c>
      <c r="B103" s="147" t="s">
        <v>47</v>
      </c>
      <c r="C103" s="177"/>
      <c r="F103" s="124" t="s">
        <v>490</v>
      </c>
      <c r="G103" s="124" t="s">
        <v>490</v>
      </c>
    </row>
    <row r="104" spans="1:7" ht="25.5" thickTop="1" thickBot="1" x14ac:dyDescent="0.5">
      <c r="A104" s="229"/>
      <c r="B104" s="183" t="str">
        <f>Text!B104</f>
        <v>Total value of disbursements</v>
      </c>
      <c r="C104" s="114">
        <v>29069</v>
      </c>
      <c r="D104" s="123" t="str">
        <f>IF($B$102&lt;&gt;"Proceed below","",IF(AND(C106&lt;&gt;"Check",C104=""),"E",IF(AND(C106&lt;&gt;"Check",C104&lt;&gt;""),"",IF(NOT(ISNUMBER(C104)),"D",IF(AND(INT(C104)=C104,C104&lt;&gt;"",C104&gt;=0),"C","D")))))</f>
        <v>C</v>
      </c>
      <c r="F104" s="124" t="s">
        <v>612</v>
      </c>
      <c r="G104" s="124" t="s">
        <v>490</v>
      </c>
    </row>
    <row r="105" spans="1:7" ht="25.5" thickTop="1" thickBot="1" x14ac:dyDescent="0.5">
      <c r="A105" s="229"/>
      <c r="B105" s="154"/>
      <c r="C105" s="195"/>
      <c r="F105" s="124" t="s">
        <v>490</v>
      </c>
      <c r="G105" s="124" t="s">
        <v>490</v>
      </c>
    </row>
    <row r="106" spans="1:7" ht="25.5" thickTop="1" thickBot="1" x14ac:dyDescent="0.5">
      <c r="A106" s="229"/>
      <c r="B106" s="236" t="str">
        <f>IF($B$102="Proceed below",Text!B106,"")</f>
        <v>Check details to proceed</v>
      </c>
      <c r="C106" s="113" t="s">
        <v>555</v>
      </c>
      <c r="D106" s="123" t="str">
        <f>IF(AND(B102="Proceed below",C104&lt;&gt;"",C106=""),"E","")</f>
        <v/>
      </c>
      <c r="E106" s="123" t="str">
        <f>IF(B106="Check details to proceed","O","")</f>
        <v>O</v>
      </c>
      <c r="F106" s="124" t="s">
        <v>612</v>
      </c>
      <c r="G106" s="124" t="s">
        <v>606</v>
      </c>
    </row>
    <row r="107" spans="1:7" ht="25.5" thickTop="1" thickBot="1" x14ac:dyDescent="0.5">
      <c r="A107" s="230"/>
      <c r="B107" s="189" t="str">
        <f>IF($B$102&lt;&gt;"Proceed below","",IF(AND(C106&lt;&gt;"Check",D106=""),"Section 3 incomplete",IF(AND(C106&lt;&gt;"Check",D106="E"),"Please select 'Check' from the drop down list",IF(C104="","Cell cannot be left blank",IF(NOT(ISNUMBER(C104)),"Please enter numbers only",IF(INT(C104)&lt;&gt;C104,"Please enter whole numbers only",IF(C104&lt;0,"Cannot enter negative amount","Proceed below")))))))</f>
        <v>Proceed below</v>
      </c>
      <c r="C107" s="193"/>
      <c r="F107" s="124" t="s">
        <v>490</v>
      </c>
      <c r="G107" s="124" t="s">
        <v>490</v>
      </c>
    </row>
    <row r="108" spans="1:7" ht="43" customHeight="1" thickTop="1" thickBot="1" x14ac:dyDescent="0.5">
      <c r="A108" s="228" t="s">
        <v>154</v>
      </c>
      <c r="B108" s="147" t="s">
        <v>601</v>
      </c>
      <c r="C108" s="177"/>
      <c r="F108" s="124" t="s">
        <v>490</v>
      </c>
      <c r="G108" s="124" t="s">
        <v>490</v>
      </c>
    </row>
    <row r="109" spans="1:7" ht="136.5" customHeight="1" thickTop="1" x14ac:dyDescent="0.45">
      <c r="A109" s="215" t="str">
        <f>Text!A109</f>
        <v>What is this section?</v>
      </c>
      <c r="B109" s="135" t="str">
        <f>Text!B109</f>
        <v xml:space="preserve">
In this section you are required to report information about your entity's use of legal services panels. The Panels are the 'Whole of Australian Government Legal Services Panel', 'Provision of Tax Technical Legal Services Panel', and the 'ACCC/AER Competition and Consumer Law Panel 2019'.
Information about your entity’s participation and Panel fee (GST exclusive) for the 'Whole of Australian Government Legal Services Panel' will be auto-populated (it is mandatory for non-corporate Commonwealth entities and opt-in for other Commonwealth bodies).
</v>
      </c>
      <c r="C109" s="179"/>
      <c r="F109" s="124" t="s">
        <v>490</v>
      </c>
      <c r="G109" s="124" t="s">
        <v>490</v>
      </c>
    </row>
    <row r="110" spans="1:7" ht="153" customHeight="1" x14ac:dyDescent="0.45">
      <c r="A110" s="215" t="str">
        <f>Text!A110</f>
        <v>What expenditure is to be reported?</v>
      </c>
      <c r="B110" s="135" t="str">
        <f>Text!B110</f>
        <v xml:space="preserve">
Entities that participated in the 'Whole of Australian Government Legal Services Panel' at any time during the financial year must report their 2022-23 off-Panel expenditure through use of the 10% off-Panel Allowance and Exemptions (only for that time they were participating in the Panel).
Entities must report their total 2022-23 expenditure under the 'Provision of Tax Technical Legal Services Panel', and the 'ACCC/AER Competition and Consumer Law Panel 2019'.
These figures will be captured in the total value of professional fees that are reported in Section 5. To prevent double counting, these figures are not added to total legal expenditure.
</v>
      </c>
      <c r="C110" s="179"/>
      <c r="F110" s="124" t="s">
        <v>490</v>
      </c>
      <c r="G110" s="124" t="s">
        <v>490</v>
      </c>
    </row>
    <row r="111" spans="1:7" ht="67.5" customHeight="1" x14ac:dyDescent="0.45">
      <c r="A111" s="215" t="str">
        <f>Text!A111</f>
        <v>How is legal services panel expenditure reported?</v>
      </c>
      <c r="B111" s="135" t="str">
        <f>Text!B111</f>
        <v xml:space="preserve">
The figures must be in whole dollar amounts, GST exclusive. Figures including cents will not be accepted. If there was no expenditure, enter '0' for a value of $0.
</v>
      </c>
      <c r="C111" s="179"/>
      <c r="F111" s="124" t="s">
        <v>490</v>
      </c>
      <c r="G111" s="124" t="s">
        <v>490</v>
      </c>
    </row>
    <row r="112" spans="1:7" ht="33" customHeight="1" thickBot="1" x14ac:dyDescent="0.5">
      <c r="A112" s="215"/>
      <c r="B112" s="180"/>
      <c r="C112" s="179"/>
      <c r="F112" s="124" t="s">
        <v>490</v>
      </c>
      <c r="G112" s="124" t="s">
        <v>490</v>
      </c>
    </row>
    <row r="113" spans="1:7" ht="25.5" thickTop="1" thickBot="1" x14ac:dyDescent="0.5">
      <c r="A113" s="229"/>
      <c r="B113" s="236" t="str">
        <f>IF($B$107&lt;&gt;"Proceed below","",Text!B113)</f>
        <v>Please confirm you have read and understood the Legal Services Panels explainer</v>
      </c>
      <c r="C113" s="113" t="s">
        <v>141</v>
      </c>
      <c r="D113" s="123" t="str">
        <f>IF(AND(B107="Proceed below",C113=""),"E","")</f>
        <v/>
      </c>
      <c r="E113" s="123" t="str">
        <f>IF(B113=Text!B113,"E","")</f>
        <v>E</v>
      </c>
      <c r="F113" s="124" t="s">
        <v>612</v>
      </c>
      <c r="G113" s="124" t="s">
        <v>605</v>
      </c>
    </row>
    <row r="114" spans="1:7" ht="25.5" thickTop="1" thickBot="1" x14ac:dyDescent="0.5">
      <c r="A114" s="230"/>
      <c r="B114" s="189" t="str">
        <f>IF($B$107&lt;&gt;"Proceed below","",IF($C$113="Yes","Proceed below",IF($C$113="No","Please contact OLSC for assistance","Read the explainer then select 'Yes' or 'No' from the drop down list")))</f>
        <v>Proceed below</v>
      </c>
      <c r="C114" s="193"/>
      <c r="F114" s="124" t="s">
        <v>490</v>
      </c>
      <c r="G114" s="124" t="s">
        <v>490</v>
      </c>
    </row>
    <row r="115" spans="1:7" ht="37" customHeight="1" thickTop="1" thickBot="1" x14ac:dyDescent="0.5">
      <c r="A115" s="228" t="s">
        <v>154</v>
      </c>
      <c r="B115" s="147" t="s">
        <v>602</v>
      </c>
      <c r="C115" s="177"/>
      <c r="F115" s="124" t="s">
        <v>490</v>
      </c>
      <c r="G115" s="124" t="s">
        <v>490</v>
      </c>
    </row>
    <row r="116" spans="1:7" ht="25.5" thickTop="1" thickBot="1" x14ac:dyDescent="0.5">
      <c r="A116" s="221"/>
      <c r="B116" s="234" t="str">
        <f>Text!B116</f>
        <v>Whole of Australian Government Legal Services Panel</v>
      </c>
      <c r="C116" s="196"/>
      <c r="F116" s="124" t="s">
        <v>490</v>
      </c>
      <c r="G116" s="124" t="s">
        <v>490</v>
      </c>
    </row>
    <row r="117" spans="1:7" ht="25.5" thickTop="1" thickBot="1" x14ac:dyDescent="0.5">
      <c r="A117" s="229"/>
      <c r="B117" s="183" t="str">
        <f>Text!B117</f>
        <v>Does your entity participate in the Whole of Australian Government Legal Services Panel?</v>
      </c>
      <c r="C117" s="112" t="str">
        <f>IF($B$114&lt;&gt;"Proceed below","",INDEX(onthepanel,MATCH($C$6,agencyname,0)))</f>
        <v>Yes</v>
      </c>
      <c r="D117" s="123" t="str">
        <f>IF($B$114&lt;&gt;"Proceed below","",IF(C123&lt;&gt;"Check","",IF($C$117&lt;&gt;"","C","D")))</f>
        <v>C</v>
      </c>
      <c r="F117" s="124" t="s">
        <v>612</v>
      </c>
      <c r="G117" s="124" t="s">
        <v>611</v>
      </c>
    </row>
    <row r="118" spans="1:7" ht="25.5" thickTop="1" thickBot="1" x14ac:dyDescent="0.5">
      <c r="A118" s="221"/>
      <c r="B118" s="234" t="str">
        <f>Text!B118</f>
        <v>Provision of Tax Technical Legal Services Panel</v>
      </c>
      <c r="C118" s="178"/>
      <c r="F118" s="124" t="s">
        <v>490</v>
      </c>
      <c r="G118" s="124" t="s">
        <v>490</v>
      </c>
    </row>
    <row r="119" spans="1:7" ht="25.5" thickTop="1" thickBot="1" x14ac:dyDescent="0.5">
      <c r="A119" s="229"/>
      <c r="B119" s="183" t="str">
        <f>Text!B119</f>
        <v>Total value of professional fee expenditure on Provision of Tax Technical Legal Services Panel for 2022-23</v>
      </c>
      <c r="C119" s="114">
        <v>0</v>
      </c>
      <c r="D119" s="123" t="str">
        <f>IF($B$114&lt;&gt;"Proceed below","",IF(AND($C$123&lt;&gt;"Check",C119=""),"E",IF(AND($C$123&lt;&gt;"Check",C119&lt;&gt;""),"",IF(NOT(ISNUMBER(C119)),"D",IF(AND(INT(C119)=C119,C119&lt;&gt;"",C119&gt;=0),"C","D")))))</f>
        <v>C</v>
      </c>
      <c r="F119" s="124" t="s">
        <v>612</v>
      </c>
      <c r="G119" s="124" t="s">
        <v>490</v>
      </c>
    </row>
    <row r="120" spans="1:7" ht="25.5" thickTop="1" thickBot="1" x14ac:dyDescent="0.5">
      <c r="A120" s="221"/>
      <c r="B120" s="234" t="str">
        <f>Text!B120</f>
        <v>ACCC/AER Competition and Consumer Law Panel 2019</v>
      </c>
      <c r="C120" s="178"/>
      <c r="F120" s="124" t="s">
        <v>490</v>
      </c>
      <c r="G120" s="124" t="s">
        <v>490</v>
      </c>
    </row>
    <row r="121" spans="1:7" ht="25.5" thickTop="1" thickBot="1" x14ac:dyDescent="0.5">
      <c r="A121" s="229"/>
      <c r="B121" s="183" t="str">
        <f>Text!B121</f>
        <v>Total value of professional fee expenditure on ACCC/AER Competition and Consumer Panel 2019 for 2022-23</v>
      </c>
      <c r="C121" s="114">
        <v>0</v>
      </c>
      <c r="D121" s="123" t="str">
        <f>IF($B$114&lt;&gt;"Proceed below","",IF(AND($C$123&lt;&gt;"Check",C121=""),"E",IF(AND($C$123&lt;&gt;"Check",C121&lt;&gt;""),"",IF(NOT(ISNUMBER(C121)),"D",IF(AND(INT(C121)=C121,C121&lt;&gt;"",C121&gt;=0),"C","D")))))</f>
        <v>C</v>
      </c>
      <c r="F121" s="124" t="s">
        <v>612</v>
      </c>
      <c r="G121" s="124" t="s">
        <v>490</v>
      </c>
    </row>
    <row r="122" spans="1:7" ht="25.5" thickTop="1" thickBot="1" x14ac:dyDescent="0.5">
      <c r="A122" s="229"/>
      <c r="B122" s="188"/>
      <c r="C122" s="195"/>
      <c r="F122" s="124" t="s">
        <v>490</v>
      </c>
      <c r="G122" s="124" t="s">
        <v>490</v>
      </c>
    </row>
    <row r="123" spans="1:7" ht="25.5" thickTop="1" thickBot="1" x14ac:dyDescent="0.5">
      <c r="A123" s="229"/>
      <c r="B123" s="236" t="str">
        <f>IF($B$114="Proceed below",Text!B123,"")</f>
        <v>Check details to proceed</v>
      </c>
      <c r="C123" s="113" t="s">
        <v>555</v>
      </c>
      <c r="D123" s="123" t="str">
        <f>IF(AND(B114="Proceed below",C119&lt;&gt;"",C121&lt;&gt;"",C123=""),"E","")</f>
        <v/>
      </c>
      <c r="E123" s="123" t="str">
        <f>IF(B123="Check details to proceed","O","")</f>
        <v>O</v>
      </c>
      <c r="F123" s="124" t="s">
        <v>612</v>
      </c>
      <c r="G123" s="124" t="s">
        <v>606</v>
      </c>
    </row>
    <row r="124" spans="1:7" ht="25.5" thickTop="1" thickBot="1" x14ac:dyDescent="0.5">
      <c r="A124" s="230"/>
      <c r="B124" s="189" t="str">
        <f>IF($B$114&lt;&gt;"Proceed below","",IF(AND(C123&lt;&gt;"Check",D123=""),"Section 4 incomplete",IF(AND(C123&lt;&gt;"Check",D123="E"),"Please select 'Check' from the drop down list",IF(AND($C$123&lt;&gt;"Check",D123&lt;&gt;"E"),"",IF(OR(C119="",C121=""),"Cell cannot be left blank",IF(OR(NOT(ISNUMBER(C119)),NOT(ISNUMBER(C121))),"Please enter numbers only",IF(OR(INT(C119)&lt;&gt;C119,INT(C121)&lt;&gt;C121),"Please enter whole numbers only",IF(OR(C119&lt;0,C121&lt;0),"Cannot enter negative amount",IF($C$117="Yes","Proceed below",IF($C$117="No","Proceed to Section 5","Incomplete"))))))))))</f>
        <v>Proceed below</v>
      </c>
      <c r="C124" s="193"/>
      <c r="F124" s="124" t="s">
        <v>490</v>
      </c>
      <c r="G124" s="124" t="s">
        <v>490</v>
      </c>
    </row>
    <row r="125" spans="1:7" ht="41.15" customHeight="1" thickTop="1" thickBot="1" x14ac:dyDescent="0.5">
      <c r="A125" s="229"/>
      <c r="B125" s="238" t="str">
        <f>Text!B125</f>
        <v>Panel fee</v>
      </c>
      <c r="C125" s="179"/>
      <c r="F125" s="124" t="s">
        <v>490</v>
      </c>
      <c r="G125" s="124" t="s">
        <v>490</v>
      </c>
    </row>
    <row r="126" spans="1:7" ht="25.5" thickTop="1" thickBot="1" x14ac:dyDescent="0.5">
      <c r="A126" s="229"/>
      <c r="B126" s="183" t="str">
        <f>Text!B126</f>
        <v>What was your entity's Panel fee for 2022-23?</v>
      </c>
      <c r="C126" s="116">
        <f>IF($B$124&lt;&gt;"Proceed below","",INDEX(panelfee,MATCH($C$6,agencyname,0)))</f>
        <v>724.40114028360006</v>
      </c>
      <c r="D126" s="123" t="str">
        <f>IF($B$124&lt;&gt;"Proceed below","",IF($C$131&lt;&gt;"Check","",IF(AND(INT(C126)=C126,C126&lt;&gt;""),"C","D")))</f>
        <v>D</v>
      </c>
      <c r="F126" s="124" t="s">
        <v>612</v>
      </c>
      <c r="G126" s="124" t="s">
        <v>611</v>
      </c>
    </row>
    <row r="127" spans="1:7" ht="25.5" thickTop="1" thickBot="1" x14ac:dyDescent="0.5">
      <c r="A127" s="229"/>
      <c r="B127" s="238" t="str">
        <f>Text!B127</f>
        <v>Panel flexibility mechanisms</v>
      </c>
      <c r="C127" s="179"/>
      <c r="F127" s="124" t="s">
        <v>490</v>
      </c>
      <c r="G127" s="124" t="s">
        <v>490</v>
      </c>
    </row>
    <row r="128" spans="1:7" ht="25.5" thickTop="1" thickBot="1" x14ac:dyDescent="0.5">
      <c r="A128" s="229"/>
      <c r="B128" s="183" t="str">
        <f>Text!B128</f>
        <v>Professional Fees for work done by non-Panel firms as part of 10% off-Panel allowance</v>
      </c>
      <c r="C128" s="114">
        <v>0</v>
      </c>
      <c r="D128" s="123" t="str">
        <f>IF($B$124&lt;&gt;"Proceed below","",IF(AND($C$131&lt;&gt;"Check",C128=""),"E",IF(AND($C$131&lt;&gt;"Check",C128&lt;&gt;""),"",IF(NOT(ISNUMBER(C128)),"D",IF(AND(INT(C128)=C128,C128&lt;&gt;"",C128&gt;=0),"C","D")))))</f>
        <v>C</v>
      </c>
      <c r="F128" s="124" t="s">
        <v>612</v>
      </c>
      <c r="G128" s="124" t="s">
        <v>490</v>
      </c>
    </row>
    <row r="129" spans="1:7" ht="25.5" thickTop="1" thickBot="1" x14ac:dyDescent="0.5">
      <c r="A129" s="229"/>
      <c r="B129" s="183" t="str">
        <f>Text!B129</f>
        <v>Professional Fees for work done by non-Panel firms with an Exemption from AGD</v>
      </c>
      <c r="C129" s="114">
        <v>0</v>
      </c>
      <c r="D129" s="123" t="str">
        <f>IF($B$124&lt;&gt;"Proceed below","",IF(AND($C$131&lt;&gt;"Check",C129=""),"E",IF(AND($C$131&lt;&gt;"Check",C129&lt;&gt;""),"",IF(NOT(ISNUMBER(C129)),"D",IF(AND(INT(C129)=C129,C129&lt;&gt;"",C129&gt;=0),"C","D")))))</f>
        <v>C</v>
      </c>
      <c r="F129" s="124" t="s">
        <v>612</v>
      </c>
      <c r="G129" s="124" t="s">
        <v>490</v>
      </c>
    </row>
    <row r="130" spans="1:7" ht="25.5" thickTop="1" thickBot="1" x14ac:dyDescent="0.5">
      <c r="A130" s="229"/>
      <c r="B130" s="188"/>
      <c r="C130" s="195"/>
      <c r="F130" s="124" t="s">
        <v>490</v>
      </c>
      <c r="G130" s="124" t="s">
        <v>490</v>
      </c>
    </row>
    <row r="131" spans="1:7" ht="25.5" thickTop="1" thickBot="1" x14ac:dyDescent="0.5">
      <c r="A131" s="229"/>
      <c r="B131" s="236" t="str">
        <f>IF($B$114="Proceed below",Text!B131,"")</f>
        <v>Check details to proceed</v>
      </c>
      <c r="C131" s="113" t="s">
        <v>555</v>
      </c>
      <c r="D131" s="123" t="str">
        <f>IF(AND(B124="Proceed below",C128&lt;&gt;"",C129&lt;&gt;"",C131=""),"E","")</f>
        <v/>
      </c>
      <c r="E131" s="123" t="str">
        <f>IF(B131="Check details to proceed","O","")</f>
        <v>O</v>
      </c>
      <c r="F131" s="124" t="s">
        <v>612</v>
      </c>
      <c r="G131" s="124" t="s">
        <v>606</v>
      </c>
    </row>
    <row r="132" spans="1:7" ht="25.5" thickTop="1" thickBot="1" x14ac:dyDescent="0.5">
      <c r="A132" s="230"/>
      <c r="B132" s="189" t="str">
        <f>IF(AND($B$124&lt;&gt;"Proceed below",$B$124&lt;&gt;"Proceed to Section 5"),"",IF($B$124="Proceed to Section 5","Proceed below",IF(AND(C131&lt;&gt;"Check",D131=""),"Section 4 incomplete",IF(AND(C131&lt;&gt;"Check",D131="E"),"Please select 'Check' from the drop down list",IF(OR(C128="",C129=""),"Cell cannot be left blank",IF(OR(NOT(ISNUMBER(C128)),NOT(ISNUMBER(C129))),"Please enter numbers only",IF(OR(INT(C128)&lt;&gt;C128,INT(C129)&lt;&gt;C129),"Please enter whole numbers only",IF(OR(C128&lt;0,C129&lt;0),"Cannot enter negative amount","Proceed below"))))))))</f>
        <v>Proceed below</v>
      </c>
      <c r="C132" s="193"/>
      <c r="F132" s="124" t="s">
        <v>490</v>
      </c>
      <c r="G132" s="124" t="s">
        <v>490</v>
      </c>
    </row>
    <row r="133" spans="1:7" ht="43" customHeight="1" thickTop="1" thickBot="1" x14ac:dyDescent="0.5">
      <c r="A133" s="228" t="s">
        <v>157</v>
      </c>
      <c r="B133" s="147" t="s">
        <v>158</v>
      </c>
      <c r="C133" s="177"/>
      <c r="F133" s="124" t="s">
        <v>490</v>
      </c>
      <c r="G133" s="124" t="s">
        <v>490</v>
      </c>
    </row>
    <row r="134" spans="1:7" ht="166.5" customHeight="1" thickTop="1" x14ac:dyDescent="0.45">
      <c r="A134" s="215" t="str">
        <f>Text!A134</f>
        <v>What is this section?</v>
      </c>
      <c r="B134" s="135" t="str">
        <f>Text!B134</f>
        <v xml:space="preserve">
In this section you are required to report on your entity's expenditure on professional fees. Each external legal services provider’s professional fees should be entered separately in the reporting template.
Professional fees are the fees chargeable for work undertaken by external legal services providers for their professional services; that is, the work done by the provider lawyers. It does not include fees paid to counsel or disbursements.
This section is divided into 3 subsections for different types of external providers: 5a) Other government providers; 5b) Overseas providers; 5c) Domestic providers.
</v>
      </c>
      <c r="C134" s="179"/>
      <c r="F134" s="124" t="s">
        <v>490</v>
      </c>
      <c r="G134" s="124" t="s">
        <v>490</v>
      </c>
    </row>
    <row r="135" spans="1:7" ht="93.65" customHeight="1" x14ac:dyDescent="0.45">
      <c r="A135" s="215" t="str">
        <f>Text!A135</f>
        <v>What are other government providers?</v>
      </c>
      <c r="B135" s="135" t="str">
        <f>Text!B135</f>
        <v xml:space="preserve">
Some entities provide billable legal services. Only services that attract a charge should be recorded as a professional fee. Other government providers is limited to the 3 primary government legal services providers (not including the Australian Government Solicitor): Attorney-General's Department; Department of Foreign Affairs and Trade; Office of Parliamentary Counsel.
</v>
      </c>
      <c r="C135" s="179"/>
      <c r="F135" s="124" t="s">
        <v>490</v>
      </c>
      <c r="G135" s="124" t="s">
        <v>490</v>
      </c>
    </row>
    <row r="136" spans="1:7" ht="72.75" customHeight="1" x14ac:dyDescent="0.45">
      <c r="A136" s="215" t="str">
        <f>Text!A136</f>
        <v>What are overseas providers?</v>
      </c>
      <c r="B136" s="135" t="str">
        <f>Text!B136</f>
        <v xml:space="preserve">
Some entities engage external legal services providers that are outside of Australia (i.e. not domestic). OLSC does not require the name of each overseas legal services provider. Instead provide one consolidated value for these professional fees.
</v>
      </c>
      <c r="C136" s="179"/>
      <c r="F136" s="124" t="s">
        <v>490</v>
      </c>
      <c r="G136" s="124" t="s">
        <v>490</v>
      </c>
    </row>
    <row r="137" spans="1:7" ht="69.75" customHeight="1" x14ac:dyDescent="0.45">
      <c r="A137" s="215" t="str">
        <f>Text!A137</f>
        <v>What are domestic providers?</v>
      </c>
      <c r="B137" s="135" t="str">
        <f>Text!B137</f>
        <v xml:space="preserve">
Domestic external legal services providers include solicitors and similar service providers, including government legal services providers such as the Austrailan Government Solicitor (AGS), that conduct their business in Australia. 
</v>
      </c>
      <c r="C137" s="179"/>
      <c r="F137" s="124" t="s">
        <v>490</v>
      </c>
      <c r="G137" s="124" t="s">
        <v>490</v>
      </c>
    </row>
    <row r="138" spans="1:7" ht="74.25" customHeight="1" x14ac:dyDescent="0.45">
      <c r="A138" s="215" t="str">
        <f>Text!A138</f>
        <v>How is expenditure on professional fees reported?</v>
      </c>
      <c r="B138" s="135" t="str">
        <f>Text!B138</f>
        <v xml:space="preserve">
The figures must be whole dollar amounts, GST exclusive. Figures including cents will not be accepted. If there was no expenditure, enter '0' for a value of $0.
</v>
      </c>
      <c r="C138" s="179"/>
      <c r="F138" s="124" t="s">
        <v>490</v>
      </c>
      <c r="G138" s="124" t="s">
        <v>490</v>
      </c>
    </row>
    <row r="139" spans="1:7" ht="318.75" customHeight="1" x14ac:dyDescent="0.45">
      <c r="A139" s="215" t="str">
        <f>Text!A139</f>
        <v>Additional guidance for domestic providers</v>
      </c>
      <c r="B139" s="135" t="str">
        <f>Text!B139</f>
        <v xml:space="preserve">
The first domestic provider listed in section 5c is AGS. You must report your entity's professional fees with AGS here. If your entity did not engage with AGS during 2021-22, then you must enter '0' for a value of $0. 
Each domestic provider’s professional fees must be entered separately. Commonly reported domestic providers have been included in the drop-down list. If a provider is not listed choose “PROVIDER NOT LISTED” to enter the provider name manually. You must only enter the details of domestic providers your entity had professional fees with in 2022-23. You cannot report '0' for any domestic provider other than AGS. You cannot report expenditure on a domestic provider more than once. 
Once you have entered details for AGS, and for each subsequent domestic provider, you will be prompted 'Is another domestic provider required?'. To add another domestic provider you must select 'Yes'. If you have finished entering the details of all domestic providers your entity had professional fees expenditure with in 2022-23, you must select 'No'. By selecting 'No', you will be prompted to confirm the details you have entered in order to proceed. Section 5c is the final part of the Entry form. By confirming the details you will complete the Entry Form. You will not be able to proceed to another domestic provider or complete the form unless the details you have entered are correct.
</v>
      </c>
      <c r="C139" s="179"/>
      <c r="F139" s="124" t="s">
        <v>490</v>
      </c>
      <c r="G139" s="124" t="s">
        <v>490</v>
      </c>
    </row>
    <row r="140" spans="1:7" ht="23.15" customHeight="1" thickBot="1" x14ac:dyDescent="0.5">
      <c r="A140" s="215"/>
      <c r="B140" s="180"/>
      <c r="C140" s="179"/>
      <c r="F140" s="124" t="s">
        <v>490</v>
      </c>
      <c r="G140" s="124" t="s">
        <v>490</v>
      </c>
    </row>
    <row r="141" spans="1:7" ht="25.5" thickTop="1" thickBot="1" x14ac:dyDescent="0.5">
      <c r="A141" s="229"/>
      <c r="B141" s="236" t="str">
        <f>IF($B$132&lt;&gt;"Proceed below","",Text!B141)</f>
        <v>Please confirm that you have read and understood the Professional Fees explainer</v>
      </c>
      <c r="C141" s="113" t="s">
        <v>141</v>
      </c>
      <c r="D141" s="123" t="str">
        <f>IF(AND(B132="Proceed below",C141=""),"E","")</f>
        <v/>
      </c>
      <c r="E141" s="123" t="str">
        <f>IF(B141=Text!B141,"E","")</f>
        <v>E</v>
      </c>
      <c r="F141" s="124" t="s">
        <v>612</v>
      </c>
      <c r="G141" s="124" t="s">
        <v>605</v>
      </c>
    </row>
    <row r="142" spans="1:7" ht="25.5" thickTop="1" thickBot="1" x14ac:dyDescent="0.5">
      <c r="A142" s="230"/>
      <c r="B142" s="189" t="str">
        <f>IF($B$132&lt;&gt;"Proceed below","",IF($C$141="Yes","Proceed below",IF($C$141="No","Please contact OLSC for assistance","Read the explainer then select 'Yes' or 'No' from the drop down list")))</f>
        <v>Proceed below</v>
      </c>
      <c r="C142" s="193"/>
      <c r="F142" s="124" t="s">
        <v>490</v>
      </c>
      <c r="G142" s="124" t="s">
        <v>490</v>
      </c>
    </row>
    <row r="143" spans="1:7" ht="37" customHeight="1" thickTop="1" thickBot="1" x14ac:dyDescent="0.5">
      <c r="A143" s="228" t="s">
        <v>159</v>
      </c>
      <c r="B143" s="147" t="s">
        <v>160</v>
      </c>
      <c r="C143" s="177"/>
      <c r="F143" s="124" t="s">
        <v>490</v>
      </c>
      <c r="G143" s="124" t="s">
        <v>490</v>
      </c>
    </row>
    <row r="144" spans="1:7" ht="25.5" thickTop="1" thickBot="1" x14ac:dyDescent="0.5">
      <c r="A144" s="229"/>
      <c r="B144" s="238" t="str">
        <f>Text!B144</f>
        <v>Attorney-General's Department (DO NOT INCLUDE PANEL FEE)</v>
      </c>
      <c r="C144" s="179"/>
      <c r="F144" s="124" t="s">
        <v>490</v>
      </c>
      <c r="G144" s="124" t="s">
        <v>490</v>
      </c>
    </row>
    <row r="145" spans="1:7" ht="25.5" thickTop="1" thickBot="1" x14ac:dyDescent="0.5">
      <c r="A145" s="229"/>
      <c r="B145" s="183" t="str">
        <f>Text!B145</f>
        <v>Total value of expenditure</v>
      </c>
      <c r="C145" s="114">
        <v>0</v>
      </c>
      <c r="D145" s="123" t="str">
        <f>IF($B$142&lt;&gt;"Proceed below","",IF(AND($C$151&lt;&gt;"Check",C145=""),"E",IF(AND($C$151&lt;&gt;"Check",C145&lt;&gt;""),"",IF(NOT(ISNUMBER(C145)),"D",IF(AND(INT(C145)=C145,C145&lt;&gt;"",C145&gt;=0),"C","D")))))</f>
        <v>C</v>
      </c>
      <c r="F145" s="124" t="s">
        <v>612</v>
      </c>
      <c r="G145" s="124" t="s">
        <v>490</v>
      </c>
    </row>
    <row r="146" spans="1:7" ht="25.5" thickTop="1" thickBot="1" x14ac:dyDescent="0.5">
      <c r="A146" s="229"/>
      <c r="B146" s="238" t="str">
        <f>Text!B146</f>
        <v>Department of Foreign Affairs and Trade</v>
      </c>
      <c r="C146" s="179"/>
      <c r="F146" s="124" t="s">
        <v>490</v>
      </c>
      <c r="G146" s="124" t="s">
        <v>490</v>
      </c>
    </row>
    <row r="147" spans="1:7" ht="25.5" thickTop="1" thickBot="1" x14ac:dyDescent="0.5">
      <c r="A147" s="229"/>
      <c r="B147" s="183" t="str">
        <f>Text!B147</f>
        <v>Total value of expenditure</v>
      </c>
      <c r="C147" s="114">
        <v>0</v>
      </c>
      <c r="D147" s="123" t="str">
        <f t="shared" ref="D147:D149" si="0">IF($B$142&lt;&gt;"Proceed below","",IF(AND($C$151&lt;&gt;"Check",C147=""),"E",IF(AND($C$151&lt;&gt;"Check",C147&lt;&gt;""),"",IF(NOT(ISNUMBER(C147)),"D",IF(AND(INT(C147)=C147,C147&lt;&gt;"",C147&gt;=0),"C","D")))))</f>
        <v>C</v>
      </c>
      <c r="F147" s="124" t="s">
        <v>612</v>
      </c>
      <c r="G147" s="124" t="s">
        <v>490</v>
      </c>
    </row>
    <row r="148" spans="1:7" ht="25.5" thickTop="1" thickBot="1" x14ac:dyDescent="0.5">
      <c r="A148" s="229"/>
      <c r="B148" s="239" t="str">
        <f>Text!B148</f>
        <v>Office of Parliamentary Counsel</v>
      </c>
      <c r="C148" s="179"/>
      <c r="F148" s="124" t="s">
        <v>490</v>
      </c>
      <c r="G148" s="124" t="s">
        <v>490</v>
      </c>
    </row>
    <row r="149" spans="1:7" ht="25.5" thickTop="1" thickBot="1" x14ac:dyDescent="0.5">
      <c r="A149" s="229"/>
      <c r="B149" s="183" t="str">
        <f>Text!B149</f>
        <v>Total value of expenditure</v>
      </c>
      <c r="C149" s="114">
        <v>0</v>
      </c>
      <c r="D149" s="123" t="str">
        <f t="shared" si="0"/>
        <v>C</v>
      </c>
      <c r="F149" s="124" t="s">
        <v>612</v>
      </c>
      <c r="G149" s="124" t="s">
        <v>490</v>
      </c>
    </row>
    <row r="150" spans="1:7" ht="25.5" thickTop="1" thickBot="1" x14ac:dyDescent="0.5">
      <c r="A150" s="229"/>
      <c r="B150" s="154"/>
      <c r="C150" s="195"/>
      <c r="F150" s="124" t="s">
        <v>490</v>
      </c>
      <c r="G150" s="124" t="s">
        <v>490</v>
      </c>
    </row>
    <row r="151" spans="1:7" ht="25.5" thickTop="1" thickBot="1" x14ac:dyDescent="0.5">
      <c r="A151" s="231"/>
      <c r="B151" s="236" t="str">
        <f>IF($B$142="Proceed below",Text!B151,"")</f>
        <v>Check details to proceed</v>
      </c>
      <c r="C151" s="113" t="s">
        <v>555</v>
      </c>
      <c r="D151" s="123" t="str">
        <f>IF(AND(B142="Proceed below",C147&lt;&gt;"",C149&lt;&gt;"",C151=""),"E","")</f>
        <v/>
      </c>
      <c r="E151" s="123" t="str">
        <f>IF(B151="Check details to proceed","O","")</f>
        <v>O</v>
      </c>
      <c r="F151" s="124" t="s">
        <v>612</v>
      </c>
      <c r="G151" s="124" t="s">
        <v>606</v>
      </c>
    </row>
    <row r="152" spans="1:7" ht="25.5" thickTop="1" thickBot="1" x14ac:dyDescent="0.5">
      <c r="A152" s="230"/>
      <c r="B152" s="197" t="str">
        <f>IF($B$142&lt;&gt;"Proceed below","",IF(AND(C151&lt;&gt;"Check",D151=""),"Section 5a incomplete",IF(AND(C151&lt;&gt;"Check",D151="E"),"Please select 'Check' from the drop down list",IF(OR(C145="",C147="",C149=""),"Cell cannot be left blank",IF(OR(NOT(ISNUMBER(C145)),NOT(ISNUMBER(C147)),NOT(ISNUMBER(C149))),"Please enter numbers only",IF(OR(INT(C145)&lt;&gt;C145,INT(C147)&lt;&gt;C147,INT(C149)&lt;&gt;C149),"Please enter whole numbers only",IF(OR(C145&lt;0,C147&lt;0,C149&lt;0),"Cannot enter negative amount","Proceed below")))))))</f>
        <v>Proceed below</v>
      </c>
      <c r="C152" s="198"/>
      <c r="F152" s="124" t="s">
        <v>490</v>
      </c>
      <c r="G152" s="124" t="s">
        <v>490</v>
      </c>
    </row>
    <row r="153" spans="1:7" ht="41.15" customHeight="1" thickTop="1" thickBot="1" x14ac:dyDescent="0.5">
      <c r="A153" s="228" t="s">
        <v>162</v>
      </c>
      <c r="B153" s="147" t="s">
        <v>161</v>
      </c>
      <c r="C153" s="177"/>
      <c r="F153" s="124" t="s">
        <v>490</v>
      </c>
      <c r="G153" s="124" t="s">
        <v>490</v>
      </c>
    </row>
    <row r="154" spans="1:7" ht="25.5" thickTop="1" thickBot="1" x14ac:dyDescent="0.5">
      <c r="A154" s="229"/>
      <c r="B154" s="238" t="str">
        <f>Text!B154</f>
        <v>Overseas firms (single total figure, individual firm names not required)</v>
      </c>
      <c r="C154" s="179"/>
      <c r="F154" s="124" t="s">
        <v>490</v>
      </c>
      <c r="G154" s="124" t="s">
        <v>490</v>
      </c>
    </row>
    <row r="155" spans="1:7" ht="25.5" thickTop="1" thickBot="1" x14ac:dyDescent="0.5">
      <c r="A155" s="229"/>
      <c r="B155" s="183" t="str">
        <f>Text!B155</f>
        <v>Total value of expenditure</v>
      </c>
      <c r="C155" s="114">
        <v>0</v>
      </c>
      <c r="D155" s="123" t="str">
        <f>IF($B$152&lt;&gt;"Proceed below","",IF(AND($C$157&lt;&gt;"Check",C155=""),"E",IF(AND($C$157&lt;&gt;"Check",C155&lt;&gt;""),"",IF(NOT(ISNUMBER(C155)),"D",IF(AND(INT(C155)=C155,C155&lt;&gt;"",C155&gt;=0),"C","D")))))</f>
        <v>C</v>
      </c>
      <c r="F155" s="124" t="s">
        <v>612</v>
      </c>
      <c r="G155" s="124" t="s">
        <v>490</v>
      </c>
    </row>
    <row r="156" spans="1:7" ht="25.5" thickTop="1" thickBot="1" x14ac:dyDescent="0.5">
      <c r="A156" s="229"/>
      <c r="B156" s="154"/>
      <c r="C156" s="199"/>
      <c r="F156" s="124" t="s">
        <v>490</v>
      </c>
      <c r="G156" s="124" t="s">
        <v>490</v>
      </c>
    </row>
    <row r="157" spans="1:7" ht="25.5" thickTop="1" thickBot="1" x14ac:dyDescent="0.5">
      <c r="A157" s="231"/>
      <c r="B157" s="236" t="str">
        <f>IF($B$152="Proceed below",Text!B157,"")</f>
        <v>Check details to proceed</v>
      </c>
      <c r="C157" s="113" t="s">
        <v>555</v>
      </c>
      <c r="D157" s="123" t="str">
        <f>IF(AND(B152="Proceed below",C155&lt;&gt;"",C157=""),"E","")</f>
        <v/>
      </c>
      <c r="E157" s="123" t="str">
        <f>IF(B157="Check details to proceed","O","")</f>
        <v>O</v>
      </c>
      <c r="F157" s="124" t="s">
        <v>612</v>
      </c>
      <c r="G157" s="124" t="s">
        <v>606</v>
      </c>
    </row>
    <row r="158" spans="1:7" ht="25.5" thickTop="1" thickBot="1" x14ac:dyDescent="0.5">
      <c r="A158" s="232"/>
      <c r="B158" s="197" t="str">
        <f>IF($B$152&lt;&gt;"Proceed below","",IF(AND(C157&lt;&gt;"Check",D157=""),"Section 5a incomplete",IF(AND(C157&lt;&gt;"Check",D157="E"),"Please select 'Check' from the drop down list",IF(C155="","Cell cannot be left blank",IF(NOT(ISNUMBER(C155)),"Please enter numbers only",IF(INT(C155)&lt;&gt;C155,"Please enter whole numbers only",IF(C155&lt;0,"Cannot enter negative amount","Proceed below")))))))</f>
        <v>Proceed below</v>
      </c>
      <c r="C158" s="198"/>
      <c r="F158" s="124" t="s">
        <v>490</v>
      </c>
      <c r="G158" s="124" t="s">
        <v>490</v>
      </c>
    </row>
    <row r="159" spans="1:7" ht="38.15" customHeight="1" thickTop="1" thickBot="1" x14ac:dyDescent="0.5">
      <c r="A159" s="228" t="s">
        <v>164</v>
      </c>
      <c r="B159" s="147" t="s">
        <v>163</v>
      </c>
      <c r="C159" s="177"/>
      <c r="F159" s="124" t="s">
        <v>490</v>
      </c>
      <c r="G159" s="124" t="s">
        <v>490</v>
      </c>
    </row>
    <row r="160" spans="1:7" ht="25.5" thickTop="1" thickBot="1" x14ac:dyDescent="0.5">
      <c r="A160" s="229"/>
      <c r="B160" s="238" t="str">
        <f>Text!B160</f>
        <v>Australian Government Solicitor</v>
      </c>
      <c r="C160" s="179"/>
      <c r="F160" s="124" t="s">
        <v>490</v>
      </c>
      <c r="G160" s="124" t="s">
        <v>490</v>
      </c>
    </row>
    <row r="161" spans="1:7" ht="25.5" thickTop="1" thickBot="1" x14ac:dyDescent="0.5">
      <c r="A161" s="229"/>
      <c r="B161" s="183" t="str">
        <f>Text!B161</f>
        <v>Total value of expenditure</v>
      </c>
      <c r="C161" s="114">
        <v>820503</v>
      </c>
      <c r="D161" s="123" t="str">
        <f>IF($B$158&lt;&gt;"Proceed below","",IF(AND(C163="",C161=""),"E",IF(AND(C163="",C161&lt;&gt;""),"",IF(NOT(ISNUMBER(C161)),"D",IF(AND(INT(C161)=C161,C161&lt;&gt;"",C161&gt;=0),"C","D")))))</f>
        <v>C</v>
      </c>
      <c r="F161" s="124" t="s">
        <v>612</v>
      </c>
      <c r="G161" s="124" t="s">
        <v>490</v>
      </c>
    </row>
    <row r="162" spans="1:7" ht="25.5" thickTop="1" thickBot="1" x14ac:dyDescent="0.5">
      <c r="A162" s="233"/>
      <c r="B162" s="154"/>
      <c r="C162" s="179"/>
      <c r="F162" s="124" t="s">
        <v>490</v>
      </c>
      <c r="G162" s="124" t="s">
        <v>490</v>
      </c>
    </row>
    <row r="163" spans="1:7" ht="25.5" thickTop="1" thickBot="1" x14ac:dyDescent="0.5">
      <c r="A163" s="229"/>
      <c r="B163" s="236" t="str">
        <f>Text!B163</f>
        <v>Is another domestic provider required?</v>
      </c>
      <c r="C163" s="113" t="s">
        <v>141</v>
      </c>
      <c r="D163" s="123" t="str">
        <f>IF(B164="Please select 'Yes' or 'No' from the drop down list","E","")</f>
        <v/>
      </c>
      <c r="E163" s="123" t="str">
        <f>IF($B158&lt;&gt;"Proceed below","",IF(B163="Is another domestic provider required?","E",IF(B163="Please confirm that the details entered into the Entry Form are correct","B","")))</f>
        <v>E</v>
      </c>
      <c r="F163" s="124" t="s">
        <v>612</v>
      </c>
      <c r="G163" s="124" t="s">
        <v>607</v>
      </c>
    </row>
    <row r="164" spans="1:7" ht="25.5" thickTop="1" thickBot="1" x14ac:dyDescent="0.5">
      <c r="A164" s="234" t="str">
        <f>IF(AND(B164="Choose provider from the list",C163="Yes"),"Domestic Provider "&amp;(ROW()-ROW(A$154))/5,"")</f>
        <v>Domestic Provider 2</v>
      </c>
      <c r="B164" s="183" t="str">
        <f>IF($B$158&lt;&gt;"Proceed below","",IF(AND(C161&lt;&gt;"",C163&lt;&gt;"Yes",C163&lt;&gt;"No"),"Please select 'Yes' or 'No' from the drop down list",IF(AND(C163&lt;&gt;"",C161=""),"WAIT: you must enter an expenditure value for AGS",IF(AND(C163&lt;&gt;"",NOT(ISNUMBER(C161))),"WAIT: please enter numbers only for AGS expenditure",IF(AND(C163&lt;&gt;"",INT(C161)&lt;&gt;C161),"WAIT: you must enter a whole dollar amount for AGS expenditure",IF(AND(C163&lt;&gt;"",C161&lt;0),"WAIT: AGS expenditure cannot be a negative amount",IF(AND(B163="Is another domestic provider required?",C163="Yes"),"Choose provider from the list",IF(AND(B163="Is another domestic provider required?",C163="No"),"Proceed below to confirm details and complete Entry Form",""))))))))</f>
        <v>Choose provider from the list</v>
      </c>
      <c r="C164" s="240" t="s">
        <v>0</v>
      </c>
      <c r="D164" s="123" t="str">
        <f>IF(B164&lt;&gt;"Choose provider from the list","",IF(AND(B168&lt;&gt;"Is another domestic provider required?",C164=""),"E",IF(AND(B168&lt;&gt;"Is another domestic provider required?",C164&lt;&gt;""),"",IF(AND(OR(C168="Yes",C168="No"),NOT(ISNUMBER(MATCH(C164,H,0)))),"D",IF(AND(OR(C168="Yes",C168="No"),B165="",ISNUMBER(MATCH(C164,$C$163:C163,0))),"D",IF(AND(OR(C168="Yes",C168="No"),C164&lt;&gt;""),"C",IF(AND(OR(C168="Yes",C168="No"),C164=""),"D","")))))))</f>
        <v>C</v>
      </c>
      <c r="E164" s="123" t="str">
        <f>IF(B164="Choose provider from the list","H","")</f>
        <v>H</v>
      </c>
      <c r="F164" s="124" t="s">
        <v>612</v>
      </c>
      <c r="G164" s="124" t="s">
        <v>610</v>
      </c>
    </row>
    <row r="165" spans="1:7" ht="25.5" thickTop="1" thickBot="1" x14ac:dyDescent="0.5">
      <c r="A165" s="229"/>
      <c r="B165" s="183" t="str">
        <f>IF(B164&lt;&gt;"Choose provider from the list","",IF(C164&lt;&gt;"PROVIDER NOT LISTED","","Type provider name manually"))</f>
        <v/>
      </c>
      <c r="C165" s="240"/>
      <c r="D165" s="123" t="str">
        <f>IF(B164&lt;&gt;"Choose provider from the list","",IF(B165&lt;&gt;"Type provider name manually","",IF(AND(B165="Type provider name manually",C165=""),"E",IF(AND(B165="Type provider name manually",C165&lt;&gt;"",C168=""),"",IF(AND(B168="Is another domestic provider required?",C168&lt;&gt;"",C165&lt;&gt;"",ISNUMBER(MATCH(C165,$C$163:C163,0))),"D",IF(AND(B168="Is another domestic provider required?",C168&lt;&gt;"",C165&lt;&gt;"",NOT(ISNUMBER(MATCH(C165,$C$163:C163,0)))),"C",""))))))</f>
        <v/>
      </c>
      <c r="F165" s="124" t="s">
        <v>612</v>
      </c>
      <c r="G165" s="124" t="s">
        <v>490</v>
      </c>
    </row>
    <row r="166" spans="1:7" ht="25.5" thickTop="1" thickBot="1" x14ac:dyDescent="0.5">
      <c r="A166" s="229"/>
      <c r="B166" s="183" t="str">
        <f>IF(B164&lt;&gt;"Choose provider from the list","","Total value of expenditure")</f>
        <v>Total value of expenditure</v>
      </c>
      <c r="C166" s="114">
        <v>81149</v>
      </c>
      <c r="D166" s="123" t="str">
        <f>IF(B164&lt;&gt;"Choose provider from the list","",IF(OR(AND(B168&lt;&gt;"Is another domestic provider required?",C164&lt;&gt;"",C164&lt;&gt;"PROVIDER NOT LISTED"),AND(B168&lt;&gt;"Is another domestic provider required?",C164="PROVIDER NOT LISTED",C165&lt;&gt;"")),"E",IF(AND(B168&lt;&gt;"Is another domestic provider required?",C161&lt;&gt;""),"",IF(AND(C168&lt;&gt;"Yes",C168&lt;&gt;"No"),"",IF(NOT(ISNUMBER(C166)),"D",IF(AND(INT(C166)=C166,C166&lt;&gt;"",C166&gt;0),"C","D"))))))</f>
        <v>C</v>
      </c>
      <c r="F166" s="124" t="s">
        <v>612</v>
      </c>
      <c r="G166" s="124" t="s">
        <v>490</v>
      </c>
    </row>
    <row r="167" spans="1:7" ht="25.5" thickTop="1" thickBot="1" x14ac:dyDescent="0.5">
      <c r="A167" s="229"/>
      <c r="B167" s="154"/>
      <c r="C167" s="179"/>
      <c r="F167" s="124" t="s">
        <v>490</v>
      </c>
      <c r="G167" s="124" t="s">
        <v>490</v>
      </c>
    </row>
    <row r="168" spans="1:7" ht="25.5" thickTop="1" thickBot="1" x14ac:dyDescent="0.5">
      <c r="A168" s="229"/>
      <c r="B168" s="236" t="str">
        <f>IF(B164="","",IF(B164="Proceed below to confirm details and complete Entry Form","Please confirm that the details entered into the Entry Form are correct",IF(OR(AND(B164="Choose provider from the list",C164&lt;&gt;"",C164&lt;&gt;"PROVIDER NOT LISTED",C166&lt;&gt;""),AND(B164="Choose provider from the list",C164="PROVIDER NOT LISTED",C165&lt;&gt;"",C166&lt;&gt;"")),"Is another domestic provider required?","")))</f>
        <v>Is another domestic provider required?</v>
      </c>
      <c r="C168" s="113" t="s">
        <v>141</v>
      </c>
      <c r="D168" s="123" t="str">
        <f>IF(OR(B169="Please select 'Yes' or 'No' from the drop down list",B169="Please select 'I confirm' or 'I do not confirm' from the drop down list"),"E","")</f>
        <v/>
      </c>
      <c r="E168" s="123" t="str">
        <f>IF(B168="Is another domestic provider required?","E",IF(B168="Please confirm that the details entered into the Entry Form are correct","B",""))</f>
        <v>E</v>
      </c>
      <c r="F168" s="124" t="s">
        <v>612</v>
      </c>
      <c r="G168" s="124" t="s">
        <v>607</v>
      </c>
    </row>
    <row r="169" spans="1:7" ht="25.5" thickTop="1" thickBot="1" x14ac:dyDescent="0.5">
      <c r="A169" s="234" t="str">
        <f>IF(AND(B169="Choose provider from the list",C168="Yes"),"Domestic Provider "&amp;(ROW()-ROW(A$154))/5,"")</f>
        <v>Domestic Provider 3</v>
      </c>
      <c r="B169" s="183" t="str">
        <f>IF($B$158&lt;&gt;"Proceed below","",IF(ISNUMBER(MATCH("Proceed below to confirm details and complete Entry Form",$B$163:B163,0)),"",IF(AND(B164&lt;&gt;"Choose provider from the list",B164&lt;&gt;"Proceed below to confirm details and complete Entry Form"),"",IF(AND(B168="Please confirm that the details entered into the Entry Form are correct",C168&lt;&gt;"I confirm",C168&lt;&gt;"I do not confirm"),"Please select 'I confirm' or 'I do not confirm' from the drop down list",IF(AND(B168="Please confirm that the details entered into the Entry Form are correct",OR(C168="I confirm",C168="I do not confirm")),"",IF(AND(B168="Is another domestic provider required?",C168&lt;&gt;"Yes",C168&lt;&gt;"No"),"Please select 'Yes' or 'No' from the drop down list",IF(AND(B168="Is another domestic provider required?",OR(C168="Yes",C168="No"),C164=""),"WAIT: you must select a provider from the list",IF(AND(B168="Is another domestic provider required?",OR(C168="Yes",C168="No"),C164="PROVIDER NOT LISTED",C165=""),"WAIT: You must enter a provider name",IF(AND(B168="Is another domestic provider required?",OR(C168="Yes",C168="No"),NOT(ISNUMBER(MATCH(C164,H,0)))),"WAIT: You must select a provider from the list or select 'PROVIDER NOT LISTED'",IF(AND(B168="Is another domestic provider required?",OR(C168="Yes",C168="No"),C166=""),"WAIT: you must enter an expenditure value",IF(AND(B168="Is another domestic provider required?",OR(C168="Yes",C168="No"),NOT(ISNUMBER(C166))),"WAIT: you must enter numbers only",IF(AND(B168="Is another domestic provider required?",OR(C168="Yes",C168="No"),INT(C166)&lt;&gt;C166),"WAIT: you must enter a whole dollar amount",IF(AND(B168="Is another domestic provider required?",OR(C168="Yes",C168="No"),C166=0),"WAIT: expenditure value cannot be 0",IF(AND(B168="Is another domestic provider required?",OR(C168="Yes",C168="No"),C166&lt;0),"WAIT: expenditure value cannot be negative",IF(OR(AND(B168="Is another domestic provider required?",OR(C168="Yes",C168="No"),B165="",ISNUMBER(MATCH(C164,$C$163:C163,0))),AND(B168="Is another domestic provider required?",OR(C168="Yes",C168="No"),B165="Type provider name manually",ISNUMBER(MATCH(C165,$C$163:C163,0)))),"WAIT: cannot enter same provider twice",IF(AND($B$158="Proceed below",B168="Is another domestic provider required?",C168="Yes"),"Choose provider from the list",IF(AND(B168="Is another domestic provider required?",C168="No"),"Proceed below to confirm details and complete Entry Form","")))))))))))))))))</f>
        <v>Choose provider from the list</v>
      </c>
      <c r="C169" s="240" t="s">
        <v>2</v>
      </c>
      <c r="D169" s="123" t="str">
        <f>IF(B169&lt;&gt;"Choose provider from the list","",IF(AND(B173&lt;&gt;"Is another domestic provider required?",C169=""),"E",IF(AND(B173&lt;&gt;"Is another domestic provider required?",C169&lt;&gt;""),"",IF(AND(OR(C173="Yes",C173="No"),NOT(ISNUMBER(MATCH(C169,H,0)))),"D",IF(AND(OR(C173="Yes",C173="No"),B170="",ISNUMBER(MATCH(C169,$C$163:C168,0))),"D",IF(AND(OR(C173="Yes",C173="No"),C169&lt;&gt;""),"C",IF(AND(OR(C173="Yes",C173="No"),C169=""),"D","")))))))</f>
        <v>C</v>
      </c>
      <c r="E169" s="123" t="str">
        <f>IF(B169="Choose provider from the list","H","")</f>
        <v>H</v>
      </c>
      <c r="F169" s="124" t="s">
        <v>612</v>
      </c>
      <c r="G169" s="124" t="s">
        <v>610</v>
      </c>
    </row>
    <row r="170" spans="1:7" ht="25.5" thickTop="1" thickBot="1" x14ac:dyDescent="0.5">
      <c r="A170" s="229"/>
      <c r="B170" s="183" t="str">
        <f>IF(B169&lt;&gt;"Choose provider from the list","",IF(C169&lt;&gt;"PROVIDER NOT LISTED","","Type provider name manually"))</f>
        <v/>
      </c>
      <c r="C170" s="240"/>
      <c r="D170" s="123" t="str">
        <f>IF(B169&lt;&gt;"Choose provider from the list","",IF(B170&lt;&gt;"Type provider name manually","",IF(AND(B170="Type provider name manually",C170=""),"E",IF(AND(B170="Type provider name manually",C170&lt;&gt;"",C173=""),"",IF(AND(B173="Is another domestic provider required?",C173&lt;&gt;"",C170&lt;&gt;"",ISNUMBER(MATCH(C170,$C$163:C168,0))),"D",IF(AND(B173="Is another domestic provider required?",C173&lt;&gt;"",C170&lt;&gt;"",NOT(ISNUMBER(MATCH(C170,$C$163:C168,0)))),"C",""))))))</f>
        <v/>
      </c>
      <c r="F170" s="124" t="s">
        <v>612</v>
      </c>
      <c r="G170" s="124" t="s">
        <v>490</v>
      </c>
    </row>
    <row r="171" spans="1:7" ht="25.5" thickTop="1" thickBot="1" x14ac:dyDescent="0.5">
      <c r="A171" s="229"/>
      <c r="B171" s="183" t="str">
        <f>IF(B164="","",IF(B169="Choose provider from the list","Total value of expenditure",IF(AND(B164="Proceed below to confirm details and complete Entry Form",C168="I do not confirm"),"Please revise entries or contact OLSC for assistance",IF(AND(B164="Proceed below to confirm details and complete Entry Form",C168="I confirm"),"Entry Form complete - proceed to Summary sheet",""))))</f>
        <v>Total value of expenditure</v>
      </c>
      <c r="C171" s="114">
        <v>136005</v>
      </c>
      <c r="D171" s="123" t="str">
        <f>IF(B169&lt;&gt;"Choose provider from the list","",IF(OR(AND(B173&lt;&gt;"Is another domestic provider required?",C169&lt;&gt;"",C169&lt;&gt;"PROVIDER NOT LISTED"),AND(B173&lt;&gt;"Is another domestic provider required?",C169="PROVIDER NOT LISTED",C170&lt;&gt;"")),"E",IF(AND(B173&lt;&gt;"Is another domestic provider required?",C166&lt;&gt;""),"",IF(AND(C173&lt;&gt;"Yes",C173&lt;&gt;"No"),"",IF(NOT(ISNUMBER(C171)),"D",IF(AND(INT(C171)=C171,C171&lt;&gt;"",C171&gt;0),"C","D"))))))</f>
        <v>C</v>
      </c>
      <c r="F171" s="124" t="s">
        <v>612</v>
      </c>
      <c r="G171" s="124" t="s">
        <v>490</v>
      </c>
    </row>
    <row r="172" spans="1:7" ht="25.5" thickTop="1" thickBot="1" x14ac:dyDescent="0.5">
      <c r="A172" s="229"/>
      <c r="B172" s="154"/>
      <c r="C172" s="179"/>
      <c r="F172" s="124" t="s">
        <v>490</v>
      </c>
      <c r="G172" s="124" t="s">
        <v>490</v>
      </c>
    </row>
    <row r="173" spans="1:7" ht="25.5" thickTop="1" thickBot="1" x14ac:dyDescent="0.5">
      <c r="A173" s="229"/>
      <c r="B173" s="236" t="str">
        <f>IF(B169="","",IF(B169="Proceed below to confirm details and complete Entry Form","Please confirm that the details entered into the Entry Form are correct",IF(OR(AND(B169="Choose provider from the list",C169&lt;&gt;"",C169&lt;&gt;"PROVIDER NOT LISTED",C171&lt;&gt;""),AND(B169="Choose provider from the list",C169="PROVIDER NOT LISTED",C170&lt;&gt;"",C171&lt;&gt;"")),"Is another domestic provider required?","")))</f>
        <v>Is another domestic provider required?</v>
      </c>
      <c r="C173" s="113" t="s">
        <v>141</v>
      </c>
      <c r="D173" s="123" t="str">
        <f>IF(OR(B174="Please select 'Yes' or 'No' from the drop down list",B174="Please select 'I confirm' or 'I do not confirm' from the drop down list"),"E","")</f>
        <v/>
      </c>
      <c r="E173" s="123" t="str">
        <f>IF(B173="Is another domestic provider required?","E",IF(B173="Please confirm that the details entered into the Entry Form are correct","B",""))</f>
        <v>E</v>
      </c>
      <c r="F173" s="124" t="s">
        <v>612</v>
      </c>
      <c r="G173" s="124" t="s">
        <v>607</v>
      </c>
    </row>
    <row r="174" spans="1:7" ht="25.5" thickTop="1" thickBot="1" x14ac:dyDescent="0.5">
      <c r="A174" s="234" t="str">
        <f>IF(AND(B174="Choose provider from the list",C173="Yes"),"Domestic Provider "&amp;(ROW()-ROW(A$154))/5,"")</f>
        <v>Domestic Provider 4</v>
      </c>
      <c r="B174" s="183" t="str">
        <f>IF($B$158&lt;&gt;"Proceed below","",IF(ISNUMBER(MATCH("Proceed below to confirm details and complete Entry Form",$B$163:B168,0)),"",IF(AND(B169&lt;&gt;"Choose provider from the list",B169&lt;&gt;"Proceed below to confirm details and complete Entry Form"),"",IF(AND(B173="Please confirm that the details entered into the Entry Form are correct",C173&lt;&gt;"I confirm",C173&lt;&gt;"I do not confirm"),"Please select 'I confirm' or 'I do not confirm' from the drop down list",IF(AND(B173="Please confirm that the details entered into the Entry Form are correct",OR(C173="I confirm",C173="I do not confirm")),"",IF(AND(B173="Is another domestic provider required?",C173&lt;&gt;"Yes",C173&lt;&gt;"No"),"Please select 'Yes' or 'No' from the drop down list",IF(AND(B173="Is another domestic provider required?",OR(C173="Yes",C173="No"),C169=""),"WAIT: you must select a provider from the list",IF(AND(B173="Is another domestic provider required?",OR(C173="Yes",C173="No"),C169="PROVIDER NOT LISTED",C170=""),"WAIT: You must enter a provider name",IF(AND(B173="Is another domestic provider required?",OR(C173="Yes",C173="No"),NOT(ISNUMBER(MATCH(C169,H,0)))),"WAIT: You must select a provider from the list or select 'PROVIDER NOT LISTED'",IF(AND(B173="Is another domestic provider required?",OR(C173="Yes",C173="No"),C171=""),"WAIT: you must enter an expenditure value",IF(AND(B173="Is another domestic provider required?",OR(C173="Yes",C173="No"),NOT(ISNUMBER(C171))),"WAIT: you must enter numbers only",IF(AND(B173="Is another domestic provider required?",OR(C173="Yes",C173="No"),INT(C171)&lt;&gt;C171),"WAIT: you must enter a whole dollar amount",IF(AND(B173="Is another domestic provider required?",OR(C173="Yes",C173="No"),C171=0),"WAIT: expenditure value cannot be 0",IF(AND(B173="Is another domestic provider required?",OR(C173="Yes",C173="No"),C171&lt;0),"WAIT: expenditure value cannot be negative",IF(OR(AND(B173="Is another domestic provider required?",OR(C173="Yes",C173="No"),B170="",ISNUMBER(MATCH(C169,$C$163:C168,0))),AND(B173="Is another domestic provider required?",OR(C173="Yes",C173="No"),B170="Type provider name manually",ISNUMBER(MATCH(C170,$C$163:C168,0)))),"WAIT: cannot enter same provider twice",IF(AND($B$158="Proceed below",B173="Is another domestic provider required?",C173="Yes"),"Choose provider from the list",IF(AND(B173="Is another domestic provider required?",C173="No"),"Proceed below to confirm details and complete Entry Form","")))))))))))))))))</f>
        <v>Choose provider from the list</v>
      </c>
      <c r="C174" s="240" t="s">
        <v>81</v>
      </c>
      <c r="D174" s="123" t="str">
        <f>IF(B174&lt;&gt;"Choose provider from the list","",IF(AND(B178&lt;&gt;"Is another domestic provider required?",C174=""),"E",IF(AND(B178&lt;&gt;"Is another domestic provider required?",C174&lt;&gt;""),"",IF(AND(OR(C178="Yes",C178="No"),NOT(ISNUMBER(MATCH(C174,H,0)))),"D",IF(AND(OR(C178="Yes",C178="No"),B175="",ISNUMBER(MATCH(C174,$C$163:C173,0))),"D",IF(AND(OR(C178="Yes",C178="No"),C174&lt;&gt;""),"C",IF(AND(OR(C178="Yes",C178="No"),C174=""),"D","")))))))</f>
        <v>C</v>
      </c>
      <c r="E174" s="123" t="str">
        <f>IF(B174="Choose provider from the list","H","")</f>
        <v>H</v>
      </c>
      <c r="F174" s="124" t="s">
        <v>612</v>
      </c>
      <c r="G174" s="124" t="s">
        <v>610</v>
      </c>
    </row>
    <row r="175" spans="1:7" ht="25.5" thickTop="1" thickBot="1" x14ac:dyDescent="0.5">
      <c r="A175" s="229"/>
      <c r="B175" s="183" t="str">
        <f>IF(B174&lt;&gt;"Choose provider from the list","",IF(C174&lt;&gt;"PROVIDER NOT LISTED","","Type provider name manually"))</f>
        <v/>
      </c>
      <c r="C175" s="240"/>
      <c r="D175" s="123" t="str">
        <f>IF(B174&lt;&gt;"Choose provider from the list","",IF(B175&lt;&gt;"Type provider name manually","",IF(AND(B175="Type provider name manually",C175=""),"E",IF(AND(B175="Type provider name manually",C175&lt;&gt;"",C178=""),"",IF(AND(B178="Is another domestic provider required?",C178&lt;&gt;"",C175&lt;&gt;"",ISNUMBER(MATCH(C175,$C$163:C173,0))),"D",IF(AND(B178="Is another domestic provider required?",C178&lt;&gt;"",C175&lt;&gt;"",NOT(ISNUMBER(MATCH(C175,$C$163:C173,0)))),"C",""))))))</f>
        <v/>
      </c>
      <c r="F175" s="124" t="s">
        <v>612</v>
      </c>
      <c r="G175" s="124" t="s">
        <v>490</v>
      </c>
    </row>
    <row r="176" spans="1:7" ht="25.5" thickTop="1" thickBot="1" x14ac:dyDescent="0.5">
      <c r="A176" s="229"/>
      <c r="B176" s="183" t="str">
        <f>IF(B169="","",IF(B174="Choose provider from the list","Total value of expenditure",IF(AND(B169="Proceed below to confirm details and complete Entry Form",C173="I do not confirm"),"Please revise entries or contact OLSC for assistance",IF(AND(B169="Proceed below to confirm details and complete Entry Form",C173="I confirm"),"Entry Form complete - proceed to Summary sheet",""))))</f>
        <v>Total value of expenditure</v>
      </c>
      <c r="C176" s="114">
        <v>77842</v>
      </c>
      <c r="D176" s="123" t="str">
        <f>IF(B174&lt;&gt;"Choose provider from the list","",IF(OR(AND(B178&lt;&gt;"Is another domestic provider required?",C174&lt;&gt;"",C174&lt;&gt;"PROVIDER NOT LISTED"),AND(B178&lt;&gt;"Is another domestic provider required?",C174="PROVIDER NOT LISTED",C175&lt;&gt;"")),"E",IF(AND(B178&lt;&gt;"Is another domestic provider required?",C171&lt;&gt;""),"",IF(AND(C178&lt;&gt;"Yes",C178&lt;&gt;"No"),"",IF(NOT(ISNUMBER(C176)),"D",IF(AND(INT(C176)=C176,C176&lt;&gt;"",C176&gt;0),"C","D"))))))</f>
        <v>C</v>
      </c>
      <c r="F176" s="124" t="s">
        <v>612</v>
      </c>
      <c r="G176" s="124" t="s">
        <v>490</v>
      </c>
    </row>
    <row r="177" spans="1:7" ht="25.5" thickTop="1" thickBot="1" x14ac:dyDescent="0.5">
      <c r="A177" s="229"/>
      <c r="B177" s="154"/>
      <c r="C177" s="179"/>
      <c r="F177" s="124" t="s">
        <v>490</v>
      </c>
      <c r="G177" s="124" t="s">
        <v>490</v>
      </c>
    </row>
    <row r="178" spans="1:7" ht="25.5" thickTop="1" thickBot="1" x14ac:dyDescent="0.5">
      <c r="A178" s="229"/>
      <c r="B178" s="236" t="str">
        <f>IF(B174="","",IF(B174="Proceed below to confirm details and complete Entry Form","Please confirm that the details entered into the Entry Form are correct",IF(OR(AND(B174="Choose provider from the list",C174&lt;&gt;"",C174&lt;&gt;"PROVIDER NOT LISTED",C176&lt;&gt;""),AND(B174="Choose provider from the list",C174="PROVIDER NOT LISTED",C175&lt;&gt;"",C176&lt;&gt;"")),"Is another domestic provider required?","")))</f>
        <v>Is another domestic provider required?</v>
      </c>
      <c r="C178" s="113" t="s">
        <v>141</v>
      </c>
      <c r="D178" s="123" t="str">
        <f>IF(OR(B179="Please select 'Yes' or 'No' from the drop down list",B179="Please select 'I confirm' or 'I do not confirm' from the drop down list"),"E","")</f>
        <v/>
      </c>
      <c r="E178" s="123" t="str">
        <f>IF(B178="Is another domestic provider required?","E",IF(B178="Please confirm that the details entered into the Entry Form are correct","B",""))</f>
        <v>E</v>
      </c>
      <c r="F178" s="124" t="s">
        <v>612</v>
      </c>
      <c r="G178" s="124" t="s">
        <v>607</v>
      </c>
    </row>
    <row r="179" spans="1:7" ht="25.5" thickTop="1" thickBot="1" x14ac:dyDescent="0.5">
      <c r="A179" s="234" t="str">
        <f>IF(AND(B179="Choose provider from the list",C178="Yes"),"Domestic Provider "&amp;(ROW()-ROW(A$154))/5,"")</f>
        <v>Domestic Provider 5</v>
      </c>
      <c r="B179" s="183" t="str">
        <f>IF($B$158&lt;&gt;"Proceed below","",IF(ISNUMBER(MATCH("Proceed below to confirm details and complete Entry Form",$B$163:B173,0)),"",IF(AND(B174&lt;&gt;"Choose provider from the list",B174&lt;&gt;"Proceed below to confirm details and complete Entry Form"),"",IF(AND(B178="Please confirm that the details entered into the Entry Form are correct",C178&lt;&gt;"I confirm",C178&lt;&gt;"I do not confirm"),"Please select 'I confirm' or 'I do not confirm' from the drop down list",IF(AND(B178="Please confirm that the details entered into the Entry Form are correct",OR(C178="I confirm",C178="I do not confirm")),"",IF(AND(B178="Is another domestic provider required?",C178&lt;&gt;"Yes",C178&lt;&gt;"No"),"Please select 'Yes' or 'No' from the drop down list",IF(AND(B178="Is another domestic provider required?",OR(C178="Yes",C178="No"),C174=""),"WAIT: you must select a provider from the list",IF(AND(B178="Is another domestic provider required?",OR(C178="Yes",C178="No"),C174="PROVIDER NOT LISTED",C175=""),"WAIT: You must enter a provider name",IF(AND(B178="Is another domestic provider required?",OR(C178="Yes",C178="No"),NOT(ISNUMBER(MATCH(C174,H,0)))),"WAIT: You must select a provider from the list or select 'PROVIDER NOT LISTED'",IF(AND(B178="Is another domestic provider required?",OR(C178="Yes",C178="No"),C176=""),"WAIT: you must enter an expenditure value",IF(AND(B178="Is another domestic provider required?",OR(C178="Yes",C178="No"),NOT(ISNUMBER(C176))),"WAIT: you must enter numbers only",IF(AND(B178="Is another domestic provider required?",OR(C178="Yes",C178="No"),INT(C176)&lt;&gt;C176),"WAIT: you must enter a whole dollar amount",IF(AND(B178="Is another domestic provider required?",OR(C178="Yes",C178="No"),C176=0),"WAIT: expenditure value cannot be 0",IF(AND(B178="Is another domestic provider required?",OR(C178="Yes",C178="No"),C176&lt;0),"WAIT: expenditure value cannot be negative",IF(OR(AND(B178="Is another domestic provider required?",OR(C178="Yes",C178="No"),B175="",ISNUMBER(MATCH(C174,$C$163:C173,0))),AND(B178="Is another domestic provider required?",OR(C178="Yes",C178="No"),B175="Type provider name manually",ISNUMBER(MATCH(C175,$C$163:C173,0)))),"WAIT: cannot enter same provider twice",IF(AND($B$158="Proceed below",B178="Is another domestic provider required?",C178="Yes"),"Choose provider from the list",IF(AND(B178="Is another domestic provider required?",C178="No"),"Proceed below to confirm details and complete Entry Form","")))))))))))))))))</f>
        <v>Choose provider from the list</v>
      </c>
      <c r="C179" s="240" t="s">
        <v>8</v>
      </c>
      <c r="D179" s="123" t="str">
        <f>IF(B179&lt;&gt;"Choose provider from the list","",IF(AND(B183&lt;&gt;"Is another domestic provider required?",C179=""),"E",IF(AND(B183&lt;&gt;"Is another domestic provider required?",C179&lt;&gt;""),"",IF(AND(OR(C183="Yes",C183="No"),NOT(ISNUMBER(MATCH(C179,H,0)))),"D",IF(AND(OR(C183="Yes",C183="No"),B180="",ISNUMBER(MATCH(C179,$C$163:C178,0))),"D",IF(AND(OR(C183="Yes",C183="No"),C179&lt;&gt;""),"C",IF(AND(OR(C183="Yes",C183="No"),C179=""),"D","")))))))</f>
        <v>C</v>
      </c>
      <c r="E179" s="123" t="str">
        <f>IF(B179="Choose provider from the list","H","")</f>
        <v>H</v>
      </c>
      <c r="F179" s="124" t="s">
        <v>612</v>
      </c>
      <c r="G179" s="124" t="s">
        <v>610</v>
      </c>
    </row>
    <row r="180" spans="1:7" ht="25.5" thickTop="1" thickBot="1" x14ac:dyDescent="0.5">
      <c r="A180" s="229"/>
      <c r="B180" s="183" t="str">
        <f>IF(B179&lt;&gt;"Choose provider from the list","",IF(C179&lt;&gt;"PROVIDER NOT LISTED","","Type provider name manually"))</f>
        <v/>
      </c>
      <c r="C180" s="240"/>
      <c r="D180" s="123" t="str">
        <f>IF(B179&lt;&gt;"Choose provider from the list","",IF(B180&lt;&gt;"Type provider name manually","",IF(AND(B180="Type provider name manually",C180=""),"E",IF(AND(B180="Type provider name manually",C180&lt;&gt;"",C183=""),"",IF(AND(B183="Is another domestic provider required?",C183&lt;&gt;"",C180&lt;&gt;"",ISNUMBER(MATCH(C180,$C$163:C178,0))),"D",IF(AND(B183="Is another domestic provider required?",C183&lt;&gt;"",C180&lt;&gt;"",NOT(ISNUMBER(MATCH(C180,$C$163:C178,0)))),"C",""))))))</f>
        <v/>
      </c>
      <c r="F180" s="124" t="s">
        <v>612</v>
      </c>
      <c r="G180" s="124" t="s">
        <v>490</v>
      </c>
    </row>
    <row r="181" spans="1:7" ht="25.5" thickTop="1" thickBot="1" x14ac:dyDescent="0.5">
      <c r="A181" s="229"/>
      <c r="B181" s="183" t="str">
        <f>IF(B174="","",IF(B179="Choose provider from the list","Total value of expenditure",IF(AND(B174="Proceed below to confirm details and complete Entry Form",C178="I do not confirm"),"Please revise entries or contact OLSC for assistance",IF(AND(B174="Proceed below to confirm details and complete Entry Form",C178="I confirm"),"Entry Form complete - proceed to Summary sheet",""))))</f>
        <v>Total value of expenditure</v>
      </c>
      <c r="C181" s="114">
        <v>5500</v>
      </c>
      <c r="D181" s="123" t="str">
        <f>IF(B179&lt;&gt;"Choose provider from the list","",IF(OR(AND(B183&lt;&gt;"Is another domestic provider required?",C179&lt;&gt;"",C179&lt;&gt;"PROVIDER NOT LISTED"),AND(B183&lt;&gt;"Is another domestic provider required?",C179="PROVIDER NOT LISTED",C180&lt;&gt;"")),"E",IF(AND(B183&lt;&gt;"Is another domestic provider required?",C176&lt;&gt;""),"",IF(AND(C183&lt;&gt;"Yes",C183&lt;&gt;"No"),"",IF(NOT(ISNUMBER(C181)),"D",IF(AND(INT(C181)=C181,C181&lt;&gt;"",C181&gt;0),"C","D"))))))</f>
        <v>C</v>
      </c>
      <c r="F181" s="124" t="s">
        <v>612</v>
      </c>
      <c r="G181" s="124" t="s">
        <v>490</v>
      </c>
    </row>
    <row r="182" spans="1:7" ht="25.5" thickTop="1" thickBot="1" x14ac:dyDescent="0.5">
      <c r="A182" s="229"/>
      <c r="B182" s="154"/>
      <c r="C182" s="179"/>
      <c r="F182" s="124" t="s">
        <v>490</v>
      </c>
      <c r="G182" s="124" t="s">
        <v>490</v>
      </c>
    </row>
    <row r="183" spans="1:7" ht="25.5" thickTop="1" thickBot="1" x14ac:dyDescent="0.5">
      <c r="A183" s="229"/>
      <c r="B183" s="236" t="str">
        <f>IF(B179="","",IF(B179="Proceed below to confirm details and complete Entry Form","Please confirm that the details entered into the Entry Form are correct",IF(OR(AND(B179="Choose provider from the list",C179&lt;&gt;"",C179&lt;&gt;"PROVIDER NOT LISTED",C181&lt;&gt;""),AND(B179="Choose provider from the list",C179="PROVIDER NOT LISTED",C180&lt;&gt;"",C181&lt;&gt;"")),"Is another domestic provider required?","")))</f>
        <v>Is another domestic provider required?</v>
      </c>
      <c r="C183" s="113" t="s">
        <v>141</v>
      </c>
      <c r="D183" s="123" t="str">
        <f>IF(OR(B184="Please select 'Yes' or 'No' from the drop down list",B184="Please select 'I confirm' or 'I do not confirm' from the drop down list"),"E","")</f>
        <v/>
      </c>
      <c r="E183" s="123" t="str">
        <f>IF(B183="Is another domestic provider required?","E",IF(B183="Please confirm that the details entered into the Entry Form are correct","B",""))</f>
        <v>E</v>
      </c>
      <c r="F183" s="124" t="s">
        <v>612</v>
      </c>
      <c r="G183" s="124" t="s">
        <v>607</v>
      </c>
    </row>
    <row r="184" spans="1:7" ht="25.5" thickTop="1" thickBot="1" x14ac:dyDescent="0.5">
      <c r="A184" s="234" t="str">
        <f>IF(AND(B184="Choose provider from the list",C183="Yes"),"Domestic Provider "&amp;(ROW()-ROW(A$154))/5,"")</f>
        <v>Domestic Provider 6</v>
      </c>
      <c r="B184" s="183" t="str">
        <f>IF($B$158&lt;&gt;"Proceed below","",IF(ISNUMBER(MATCH("Proceed below to confirm details and complete Entry Form",$B$163:B178,0)),"",IF(AND(B179&lt;&gt;"Choose provider from the list",B179&lt;&gt;"Proceed below to confirm details and complete Entry Form"),"",IF(AND(B183="Please confirm that the details entered into the Entry Form are correct",C183&lt;&gt;"I confirm",C183&lt;&gt;"I do not confirm"),"Please select 'I confirm' or 'I do not confirm' from the drop down list",IF(AND(B183="Please confirm that the details entered into the Entry Form are correct",OR(C183="I confirm",C183="I do not confirm")),"",IF(AND(B183="Is another domestic provider required?",C183&lt;&gt;"Yes",C183&lt;&gt;"No"),"Please select 'Yes' or 'No' from the drop down list",IF(AND(B183="Is another domestic provider required?",OR(C183="Yes",C183="No"),C179=""),"WAIT: you must select a provider from the list",IF(AND(B183="Is another domestic provider required?",OR(C183="Yes",C183="No"),C179="PROVIDER NOT LISTED",C180=""),"WAIT: You must enter a provider name",IF(AND(B183="Is another domestic provider required?",OR(C183="Yes",C183="No"),NOT(ISNUMBER(MATCH(C179,H,0)))),"WAIT: You must select a provider from the list or select 'PROVIDER NOT LISTED'",IF(AND(B183="Is another domestic provider required?",OR(C183="Yes",C183="No"),C181=""),"WAIT: you must enter an expenditure value",IF(AND(B183="Is another domestic provider required?",OR(C183="Yes",C183="No"),NOT(ISNUMBER(C181))),"WAIT: you must enter numbers only",IF(AND(B183="Is another domestic provider required?",OR(C183="Yes",C183="No"),INT(C181)&lt;&gt;C181),"WAIT: you must enter a whole dollar amount",IF(AND(B183="Is another domestic provider required?",OR(C183="Yes",C183="No"),C181=0),"WAIT: expenditure value cannot be 0",IF(AND(B183="Is another domestic provider required?",OR(C183="Yes",C183="No"),C181&lt;0),"WAIT: expenditure value cannot be negative",IF(OR(AND(B183="Is another domestic provider required?",OR(C183="Yes",C183="No"),B180="",ISNUMBER(MATCH(C179,$C$163:C178,0))),AND(B183="Is another domestic provider required?",OR(C183="Yes",C183="No"),B180="Type provider name manually",ISNUMBER(MATCH(C180,$C$163:C178,0)))),"WAIT: cannot enter same provider twice",IF(AND($B$158="Proceed below",B183="Is another domestic provider required?",C183="Yes"),"Choose provider from the list",IF(AND(B183="Is another domestic provider required?",C183="No"),"Proceed below to confirm details and complete Entry Form","")))))))))))))))))</f>
        <v>Choose provider from the list</v>
      </c>
      <c r="C184" s="240" t="s">
        <v>14</v>
      </c>
      <c r="D184" s="123" t="str">
        <f>IF(B184&lt;&gt;"Choose provider from the list","",IF(AND(B188&lt;&gt;"Is another domestic provider required?",C184=""),"E",IF(AND(B188&lt;&gt;"Is another domestic provider required?",C184&lt;&gt;""),"",IF(AND(OR(C188="Yes",C188="No"),NOT(ISNUMBER(MATCH(C184,H,0)))),"D",IF(AND(OR(C188="Yes",C188="No"),B185="",ISNUMBER(MATCH(C184,$C$163:C183,0))),"D",IF(AND(OR(C188="Yes",C188="No"),C184&lt;&gt;""),"C",IF(AND(OR(C188="Yes",C188="No"),C184=""),"D","")))))))</f>
        <v>C</v>
      </c>
      <c r="E184" s="123" t="str">
        <f>IF(B184="Choose provider from the list","H","")</f>
        <v>H</v>
      </c>
      <c r="F184" s="124" t="s">
        <v>612</v>
      </c>
      <c r="G184" s="124" t="s">
        <v>610</v>
      </c>
    </row>
    <row r="185" spans="1:7" ht="25.5" thickTop="1" thickBot="1" x14ac:dyDescent="0.5">
      <c r="A185" s="229"/>
      <c r="B185" s="183" t="str">
        <f>IF(B184&lt;&gt;"Choose provider from the list","",IF(C184&lt;&gt;"PROVIDER NOT LISTED","","Type provider name manually"))</f>
        <v/>
      </c>
      <c r="C185" s="240"/>
      <c r="D185" s="123" t="str">
        <f>IF(B184&lt;&gt;"Choose provider from the list","",IF(B185&lt;&gt;"Type provider name manually","",IF(AND(B185="Type provider name manually",C185=""),"E",IF(AND(B185="Type provider name manually",C185&lt;&gt;"",C188=""),"",IF(AND(B188="Is another domestic provider required?",C188&lt;&gt;"",C185&lt;&gt;"",ISNUMBER(MATCH(C185,$C$163:C183,0))),"D",IF(AND(B188="Is another domestic provider required?",C188&lt;&gt;"",C185&lt;&gt;"",NOT(ISNUMBER(MATCH(C185,$C$163:C183,0)))),"C",""))))))</f>
        <v/>
      </c>
      <c r="F185" s="124" t="s">
        <v>612</v>
      </c>
      <c r="G185" s="124" t="s">
        <v>490</v>
      </c>
    </row>
    <row r="186" spans="1:7" ht="25.5" thickTop="1" thickBot="1" x14ac:dyDescent="0.5">
      <c r="A186" s="229"/>
      <c r="B186" s="183" t="str">
        <f>IF(B179="","",IF(B184="Choose provider from the list","Total value of expenditure",IF(AND(B179="Proceed below to confirm details and complete Entry Form",C183="I do not confirm"),"Please revise entries or contact OLSC for assistance",IF(AND(B179="Proceed below to confirm details and complete Entry Form",C183="I confirm"),"Entry Form complete - proceed to Summary sheet",""))))</f>
        <v>Total value of expenditure</v>
      </c>
      <c r="C186" s="114">
        <v>2718</v>
      </c>
      <c r="D186" s="123" t="str">
        <f>IF(B184&lt;&gt;"Choose provider from the list","",IF(OR(AND(B188&lt;&gt;"Is another domestic provider required?",C184&lt;&gt;"",C184&lt;&gt;"PROVIDER NOT LISTED"),AND(B188&lt;&gt;"Is another domestic provider required?",C184="PROVIDER NOT LISTED",C185&lt;&gt;"")),"E",IF(AND(B188&lt;&gt;"Is another domestic provider required?",C181&lt;&gt;""),"",IF(AND(C188&lt;&gt;"Yes",C188&lt;&gt;"No"),"",IF(NOT(ISNUMBER(C186)),"D",IF(AND(INT(C186)=C186,C186&lt;&gt;"",C186&gt;0),"C","D"))))))</f>
        <v>C</v>
      </c>
      <c r="F186" s="124" t="s">
        <v>612</v>
      </c>
      <c r="G186" s="124" t="s">
        <v>490</v>
      </c>
    </row>
    <row r="187" spans="1:7" ht="25.5" thickTop="1" thickBot="1" x14ac:dyDescent="0.5">
      <c r="A187" s="229"/>
      <c r="B187" s="154"/>
      <c r="C187" s="179"/>
      <c r="F187" s="124" t="s">
        <v>490</v>
      </c>
      <c r="G187" s="124" t="s">
        <v>490</v>
      </c>
    </row>
    <row r="188" spans="1:7" ht="25.5" thickTop="1" thickBot="1" x14ac:dyDescent="0.5">
      <c r="A188" s="229"/>
      <c r="B188" s="236" t="str">
        <f>IF(B184="","",IF(B184="Proceed below to confirm details and complete Entry Form","Please confirm that the details entered into the Entry Form are correct",IF(OR(AND(B184="Choose provider from the list",C184&lt;&gt;"",C184&lt;&gt;"PROVIDER NOT LISTED",C186&lt;&gt;""),AND(B184="Choose provider from the list",C184="PROVIDER NOT LISTED",C185&lt;&gt;"",C186&lt;&gt;"")),"Is another domestic provider required?","")))</f>
        <v>Is another domestic provider required?</v>
      </c>
      <c r="C188" s="113" t="s">
        <v>142</v>
      </c>
      <c r="D188" s="123" t="str">
        <f>IF(OR(B189="Please select 'Yes' or 'No' from the drop down list",B189="Please select 'I confirm' or 'I do not confirm' from the drop down list"),"E","")</f>
        <v/>
      </c>
      <c r="E188" s="123" t="str">
        <f>IF(B188="Is another domestic provider required?","E",IF(B188="Please confirm that the details entered into the Entry Form are correct","B",""))</f>
        <v>E</v>
      </c>
      <c r="F188" s="124" t="s">
        <v>612</v>
      </c>
      <c r="G188" s="124" t="s">
        <v>607</v>
      </c>
    </row>
    <row r="189" spans="1:7" ht="25.5" thickTop="1" thickBot="1" x14ac:dyDescent="0.5">
      <c r="A189" s="234" t="str">
        <f>IF(AND(B189="Choose provider from the list",C188="Yes"),"Domestic Provider "&amp;(ROW()-ROW(A$154))/5,"")</f>
        <v/>
      </c>
      <c r="B189" s="183" t="str">
        <f>IF($B$158&lt;&gt;"Proceed below","",IF(ISNUMBER(MATCH("Proceed below to confirm details and complete Entry Form",$B$163:B183,0)),"",IF(AND(B184&lt;&gt;"Choose provider from the list",B184&lt;&gt;"Proceed below to confirm details and complete Entry Form"),"",IF(AND(B188="Please confirm that the details entered into the Entry Form are correct",C188&lt;&gt;"I confirm",C188&lt;&gt;"I do not confirm"),"Please select 'I confirm' or 'I do not confirm' from the drop down list",IF(AND(B188="Please confirm that the details entered into the Entry Form are correct",OR(C188="I confirm",C188="I do not confirm")),"",IF(AND(B188="Is another domestic provider required?",C188&lt;&gt;"Yes",C188&lt;&gt;"No"),"Please select 'Yes' or 'No' from the drop down list",IF(AND(B188="Is another domestic provider required?",OR(C188="Yes",C188="No"),C184=""),"WAIT: you must select a provider from the list",IF(AND(B188="Is another domestic provider required?",OR(C188="Yes",C188="No"),C184="PROVIDER NOT LISTED",C185=""),"WAIT: You must enter a provider name",IF(AND(B188="Is another domestic provider required?",OR(C188="Yes",C188="No"),NOT(ISNUMBER(MATCH(C184,H,0)))),"WAIT: You must select a provider from the list or select 'PROVIDER NOT LISTED'",IF(AND(B188="Is another domestic provider required?",OR(C188="Yes",C188="No"),C186=""),"WAIT: you must enter an expenditure value",IF(AND(B188="Is another domestic provider required?",OR(C188="Yes",C188="No"),NOT(ISNUMBER(C186))),"WAIT: you must enter numbers only",IF(AND(B188="Is another domestic provider required?",OR(C188="Yes",C188="No"),INT(C186)&lt;&gt;C186),"WAIT: you must enter a whole dollar amount",IF(AND(B188="Is another domestic provider required?",OR(C188="Yes",C188="No"),C186=0),"WAIT: expenditure value cannot be 0",IF(AND(B188="Is another domestic provider required?",OR(C188="Yes",C188="No"),C186&lt;0),"WAIT: expenditure value cannot be negative",IF(OR(AND(B188="Is another domestic provider required?",OR(C188="Yes",C188="No"),B185="",ISNUMBER(MATCH(C184,$C$163:C183,0))),AND(B188="Is another domestic provider required?",OR(C188="Yes",C188="No"),B185="Type provider name manually",ISNUMBER(MATCH(C185,$C$163:C183,0)))),"WAIT: cannot enter same provider twice",IF(AND($B$158="Proceed below",B188="Is another domestic provider required?",C188="Yes"),"Choose provider from the list",IF(AND(B188="Is another domestic provider required?",C188="No"),"Proceed below to confirm details and complete Entry Form","")))))))))))))))))</f>
        <v>Proceed below to confirm details and complete Entry Form</v>
      </c>
      <c r="C189" s="240"/>
      <c r="D189" s="123" t="str">
        <f>IF(B189&lt;&gt;"Choose provider from the list","",IF(AND(B193&lt;&gt;"Is another domestic provider required?",C189=""),"E",IF(AND(B193&lt;&gt;"Is another domestic provider required?",C189&lt;&gt;""),"",IF(AND(OR(C193="Yes",C193="No"),NOT(ISNUMBER(MATCH(C189,H,0)))),"D",IF(AND(OR(C193="Yes",C193="No"),B190="",ISNUMBER(MATCH(C189,$C$163:C188,0))),"D",IF(AND(OR(C193="Yes",C193="No"),C189&lt;&gt;""),"C",IF(AND(OR(C193="Yes",C193="No"),C189=""),"D","")))))))</f>
        <v/>
      </c>
      <c r="E189" s="123" t="str">
        <f>IF(B189="Choose provider from the list","H","")</f>
        <v/>
      </c>
      <c r="F189" s="124" t="s">
        <v>612</v>
      </c>
      <c r="G189" s="124" t="s">
        <v>610</v>
      </c>
    </row>
    <row r="190" spans="1:7" ht="25.5" thickTop="1" thickBot="1" x14ac:dyDescent="0.5">
      <c r="A190" s="229"/>
      <c r="B190" s="183" t="str">
        <f>IF(B189&lt;&gt;"Choose provider from the list","",IF(C189&lt;&gt;"PROVIDER NOT LISTED","","Type provider name manually"))</f>
        <v/>
      </c>
      <c r="C190" s="240"/>
      <c r="D190" s="123" t="str">
        <f>IF(B189&lt;&gt;"Choose provider from the list","",IF(B190&lt;&gt;"Type provider name manually","",IF(AND(B190="Type provider name manually",C190=""),"E",IF(AND(B190="Type provider name manually",C190&lt;&gt;"",C193=""),"",IF(AND(B193="Is another domestic provider required?",C193&lt;&gt;"",C190&lt;&gt;"",ISNUMBER(MATCH(C190,$C$163:C188,0))),"D",IF(AND(B193="Is another domestic provider required?",C193&lt;&gt;"",C190&lt;&gt;"",NOT(ISNUMBER(MATCH(C190,$C$163:C188,0)))),"C",""))))))</f>
        <v/>
      </c>
      <c r="F190" s="124" t="s">
        <v>612</v>
      </c>
      <c r="G190" s="124" t="s">
        <v>490</v>
      </c>
    </row>
    <row r="191" spans="1:7" ht="25.5" thickTop="1" thickBot="1" x14ac:dyDescent="0.5">
      <c r="A191" s="229"/>
      <c r="B191" s="183" t="str">
        <f>IF(B184="","",IF(B189="Choose provider from the list","Total value of expenditure",IF(AND(B184="Proceed below to confirm details and complete Entry Form",C188="I do not confirm"),"Please revise entries or contact OLSC for assistance",IF(AND(B184="Proceed below to confirm details and complete Entry Form",C188="I confirm"),"Entry Form complete - proceed to Summary sheet",""))))</f>
        <v/>
      </c>
      <c r="C191" s="114"/>
      <c r="D191" s="123" t="str">
        <f>IF(B189&lt;&gt;"Choose provider from the list","",IF(OR(AND(B193&lt;&gt;"Is another domestic provider required?",C189&lt;&gt;"",C189&lt;&gt;"PROVIDER NOT LISTED"),AND(B193&lt;&gt;"Is another domestic provider required?",C189="PROVIDER NOT LISTED",C190&lt;&gt;"")),"E",IF(AND(B193&lt;&gt;"Is another domestic provider required?",C186&lt;&gt;""),"",IF(AND(C193&lt;&gt;"Yes",C193&lt;&gt;"No"),"",IF(NOT(ISNUMBER(C191)),"D",IF(AND(INT(C191)=C191,C191&lt;&gt;"",C191&gt;0),"C","D"))))))</f>
        <v/>
      </c>
      <c r="F191" s="124" t="s">
        <v>612</v>
      </c>
      <c r="G191" s="124" t="s">
        <v>490</v>
      </c>
    </row>
    <row r="192" spans="1:7" ht="25.5" thickTop="1" thickBot="1" x14ac:dyDescent="0.5">
      <c r="A192" s="229"/>
      <c r="B192" s="154"/>
      <c r="C192" s="179"/>
      <c r="F192" s="124" t="s">
        <v>490</v>
      </c>
      <c r="G192" s="124" t="s">
        <v>490</v>
      </c>
    </row>
    <row r="193" spans="1:7" ht="25.5" thickTop="1" thickBot="1" x14ac:dyDescent="0.5">
      <c r="A193" s="229"/>
      <c r="B193" s="236" t="str">
        <f>IF(B189="","",IF(B189="Proceed below to confirm details and complete Entry Form","Please confirm that the details entered into the Entry Form are correct",IF(OR(AND(B189="Choose provider from the list",C189&lt;&gt;"",C189&lt;&gt;"PROVIDER NOT LISTED",C191&lt;&gt;""),AND(B189="Choose provider from the list",C189="PROVIDER NOT LISTED",C190&lt;&gt;"",C191&lt;&gt;"")),"Is another domestic provider required?","")))</f>
        <v>Please confirm that the details entered into the Entry Form are correct</v>
      </c>
      <c r="C193" s="113" t="s">
        <v>608</v>
      </c>
      <c r="D193" s="123" t="str">
        <f>IF(OR(B194="Please select 'Yes' or 'No' from the drop down list",B194="Please select 'I confirm' or 'I do not confirm' from the drop down list"),"E","")</f>
        <v/>
      </c>
      <c r="E193" s="123" t="str">
        <f>IF(B193="Is another domestic provider required?","E",IF(B193="Please confirm that the details entered into the Entry Form are correct","B",""))</f>
        <v>B</v>
      </c>
      <c r="F193" s="124" t="s">
        <v>612</v>
      </c>
      <c r="G193" s="124" t="s">
        <v>607</v>
      </c>
    </row>
    <row r="194" spans="1:7" ht="25.5" thickTop="1" thickBot="1" x14ac:dyDescent="0.5">
      <c r="A194" s="234" t="str">
        <f>IF(AND(B194="Choose provider from the list",C193="Yes"),"Domestic Provider "&amp;(ROW()-ROW(A$154))/5,"")</f>
        <v/>
      </c>
      <c r="B194" s="183" t="str">
        <f>IF($B$158&lt;&gt;"Proceed below","",IF(ISNUMBER(MATCH("Proceed below to confirm details and complete Entry Form",$B$163:B188,0)),"",IF(AND(B189&lt;&gt;"Choose provider from the list",B189&lt;&gt;"Proceed below to confirm details and complete Entry Form"),"",IF(AND(B193="Please confirm that the details entered into the Entry Form are correct",C193&lt;&gt;"I confirm",C193&lt;&gt;"I do not confirm"),"Please select 'I confirm' or 'I do not confirm' from the drop down list",IF(AND(B193="Please confirm that the details entered into the Entry Form are correct",OR(C193="I confirm",C193="I do not confirm")),"",IF(AND(B193="Is another domestic provider required?",C193&lt;&gt;"Yes",C193&lt;&gt;"No"),"Please select 'Yes' or 'No' from the drop down list",IF(AND(B193="Is another domestic provider required?",OR(C193="Yes",C193="No"),C189=""),"WAIT: you must select a provider from the list",IF(AND(B193="Is another domestic provider required?",OR(C193="Yes",C193="No"),C189="PROVIDER NOT LISTED",C190=""),"WAIT: You must enter a provider name",IF(AND(B193="Is another domestic provider required?",OR(C193="Yes",C193="No"),NOT(ISNUMBER(MATCH(C189,H,0)))),"WAIT: You must select a provider from the list or select 'PROVIDER NOT LISTED'",IF(AND(B193="Is another domestic provider required?",OR(C193="Yes",C193="No"),C191=""),"WAIT: you must enter an expenditure value",IF(AND(B193="Is another domestic provider required?",OR(C193="Yes",C193="No"),NOT(ISNUMBER(C191))),"WAIT: you must enter numbers only",IF(AND(B193="Is another domestic provider required?",OR(C193="Yes",C193="No"),INT(C191)&lt;&gt;C191),"WAIT: you must enter a whole dollar amount",IF(AND(B193="Is another domestic provider required?",OR(C193="Yes",C193="No"),C191=0),"WAIT: expenditure value cannot be 0",IF(AND(B193="Is another domestic provider required?",OR(C193="Yes",C193="No"),C191&lt;0),"WAIT: expenditure value cannot be negative",IF(OR(AND(B193="Is another domestic provider required?",OR(C193="Yes",C193="No"),B190="",ISNUMBER(MATCH(C189,$C$163:C188,0))),AND(B193="Is another domestic provider required?",OR(C193="Yes",C193="No"),B190="Type provider name manually",ISNUMBER(MATCH(C190,$C$163:C188,0)))),"WAIT: cannot enter same provider twice",IF(AND($B$158="Proceed below",B193="Is another domestic provider required?",C193="Yes"),"Choose provider from the list",IF(AND(B193="Is another domestic provider required?",C193="No"),"Proceed below to confirm details and complete Entry Form","")))))))))))))))))</f>
        <v/>
      </c>
      <c r="C194" s="240"/>
      <c r="D194" s="123" t="str">
        <f>IF(B194&lt;&gt;"Choose provider from the list","",IF(AND(B198&lt;&gt;"Is another domestic provider required?",C194=""),"E",IF(AND(B198&lt;&gt;"Is another domestic provider required?",C194&lt;&gt;""),"",IF(AND(OR(C198="Yes",C198="No"),NOT(ISNUMBER(MATCH(C194,H,0)))),"D",IF(AND(OR(C198="Yes",C198="No"),B195="",ISNUMBER(MATCH(C194,$C$163:C193,0))),"D",IF(AND(OR(C198="Yes",C198="No"),C194&lt;&gt;""),"C",IF(AND(OR(C198="Yes",C198="No"),C194=""),"D","")))))))</f>
        <v/>
      </c>
      <c r="E194" s="123" t="str">
        <f>IF(B194="Choose provider from the list","H","")</f>
        <v/>
      </c>
      <c r="F194" s="124" t="s">
        <v>612</v>
      </c>
      <c r="G194" s="124" t="s">
        <v>610</v>
      </c>
    </row>
    <row r="195" spans="1:7" ht="25.5" thickTop="1" thickBot="1" x14ac:dyDescent="0.5">
      <c r="A195" s="229"/>
      <c r="B195" s="183" t="str">
        <f>IF(B194&lt;&gt;"Choose provider from the list","",IF(C194&lt;&gt;"PROVIDER NOT LISTED","","Type provider name manually"))</f>
        <v/>
      </c>
      <c r="C195" s="240"/>
      <c r="D195" s="123" t="str">
        <f>IF(B194&lt;&gt;"Choose provider from the list","",IF(B195&lt;&gt;"Type provider name manually","",IF(AND(B195="Type provider name manually",C195=""),"E",IF(AND(B195="Type provider name manually",C195&lt;&gt;"",C198=""),"",IF(AND(B198="Is another domestic provider required?",C198&lt;&gt;"",C195&lt;&gt;"",ISNUMBER(MATCH(C195,$C$163:C193,0))),"D",IF(AND(B198="Is another domestic provider required?",C198&lt;&gt;"",C195&lt;&gt;"",NOT(ISNUMBER(MATCH(C195,$C$163:C193,0)))),"C",""))))))</f>
        <v/>
      </c>
      <c r="F195" s="124" t="s">
        <v>612</v>
      </c>
      <c r="G195" s="124" t="s">
        <v>490</v>
      </c>
    </row>
    <row r="196" spans="1:7" ht="25.5" thickTop="1" thickBot="1" x14ac:dyDescent="0.5">
      <c r="A196" s="229"/>
      <c r="B196" s="183" t="str">
        <f>IF(B189="","",IF(B194="Choose provider from the list","Total value of expenditure",IF(AND(B189="Proceed below to confirm details and complete Entry Form",C193="I do not confirm"),"Please revise entries or contact OLSC for assistance",IF(AND(B189="Proceed below to confirm details and complete Entry Form",C193="I confirm"),"Entry Form complete - proceed to Summary sheet",""))))</f>
        <v>Entry Form complete - proceed to Summary sheet</v>
      </c>
      <c r="C196" s="114"/>
      <c r="D196" s="123" t="str">
        <f>IF(B194&lt;&gt;"Choose provider from the list","",IF(OR(AND(B198&lt;&gt;"Is another domestic provider required?",C194&lt;&gt;"",C194&lt;&gt;"PROVIDER NOT LISTED"),AND(B198&lt;&gt;"Is another domestic provider required?",C194="PROVIDER NOT LISTED",C195&lt;&gt;"")),"E",IF(AND(B198&lt;&gt;"Is another domestic provider required?",C191&lt;&gt;""),"",IF(AND(C198&lt;&gt;"Yes",C198&lt;&gt;"No"),"",IF(NOT(ISNUMBER(C196)),"D",IF(AND(INT(C196)=C196,C196&lt;&gt;"",C196&gt;0),"C","D"))))))</f>
        <v/>
      </c>
      <c r="F196" s="124" t="s">
        <v>612</v>
      </c>
      <c r="G196" s="124" t="s">
        <v>490</v>
      </c>
    </row>
    <row r="197" spans="1:7" ht="25.5" thickTop="1" thickBot="1" x14ac:dyDescent="0.5">
      <c r="A197" s="229"/>
      <c r="B197" s="154"/>
      <c r="C197" s="179"/>
      <c r="F197" s="124" t="s">
        <v>490</v>
      </c>
      <c r="G197" s="124" t="s">
        <v>490</v>
      </c>
    </row>
    <row r="198" spans="1:7" ht="25.5" thickTop="1" thickBot="1" x14ac:dyDescent="0.5">
      <c r="A198" s="229"/>
      <c r="B198" s="236" t="str">
        <f>IF(B194="","",IF(B194="Proceed below to confirm details and complete Entry Form","Please confirm that the details entered into the Entry Form are correct",IF(OR(AND(B194="Choose provider from the list",C194&lt;&gt;"",C194&lt;&gt;"PROVIDER NOT LISTED",C196&lt;&gt;""),AND(B194="Choose provider from the list",C194="PROVIDER NOT LISTED",C195&lt;&gt;"",C196&lt;&gt;"")),"Is another domestic provider required?","")))</f>
        <v/>
      </c>
      <c r="C198" s="113"/>
      <c r="D198" s="123" t="str">
        <f>IF(OR(B199="Please select 'Yes' or 'No' from the drop down list",B199="Please select 'I confirm' or 'I do not confirm' from the drop down list"),"E","")</f>
        <v/>
      </c>
      <c r="E198" s="123" t="str">
        <f>IF(B198="Is another domestic provider required?","E",IF(B198="Please confirm that the details entered into the Entry Form are correct","B",""))</f>
        <v/>
      </c>
      <c r="F198" s="124" t="s">
        <v>612</v>
      </c>
      <c r="G198" s="124" t="s">
        <v>607</v>
      </c>
    </row>
    <row r="199" spans="1:7" ht="25.5" thickTop="1" thickBot="1" x14ac:dyDescent="0.5">
      <c r="A199" s="234" t="str">
        <f>IF(AND(B199="Choose provider from the list",C198="Yes"),"Domestic Provider "&amp;(ROW()-ROW(A$154))/5,"")</f>
        <v/>
      </c>
      <c r="B199" s="183" t="str">
        <f>IF($B$158&lt;&gt;"Proceed below","",IF(ISNUMBER(MATCH("Proceed below to confirm details and complete Entry Form",$B$163:B193,0)),"",IF(AND(B194&lt;&gt;"Choose provider from the list",B194&lt;&gt;"Proceed below to confirm details and complete Entry Form"),"",IF(AND(B198="Please confirm that the details entered into the Entry Form are correct",C198&lt;&gt;"I confirm",C198&lt;&gt;"I do not confirm"),"Please select 'I confirm' or 'I do not confirm' from the drop down list",IF(AND(B198="Please confirm that the details entered into the Entry Form are correct",OR(C198="I confirm",C198="I do not confirm")),"",IF(AND(B198="Is another domestic provider required?",C198&lt;&gt;"Yes",C198&lt;&gt;"No"),"Please select 'Yes' or 'No' from the drop down list",IF(AND(B198="Is another domestic provider required?",OR(C198="Yes",C198="No"),C194=""),"WAIT: you must select a provider from the list",IF(AND(B198="Is another domestic provider required?",OR(C198="Yes",C198="No"),C194="PROVIDER NOT LISTED",C195=""),"WAIT: You must enter a provider name",IF(AND(B198="Is another domestic provider required?",OR(C198="Yes",C198="No"),NOT(ISNUMBER(MATCH(C194,H,0)))),"WAIT: You must select a provider from the list or select 'PROVIDER NOT LISTED'",IF(AND(B198="Is another domestic provider required?",OR(C198="Yes",C198="No"),C196=""),"WAIT: you must enter an expenditure value",IF(AND(B198="Is another domestic provider required?",OR(C198="Yes",C198="No"),NOT(ISNUMBER(C196))),"WAIT: you must enter numbers only",IF(AND(B198="Is another domestic provider required?",OR(C198="Yes",C198="No"),INT(C196)&lt;&gt;C196),"WAIT: you must enter a whole dollar amount",IF(AND(B198="Is another domestic provider required?",OR(C198="Yes",C198="No"),C196=0),"WAIT: expenditure value cannot be 0",IF(AND(B198="Is another domestic provider required?",OR(C198="Yes",C198="No"),C196&lt;0),"WAIT: expenditure value cannot be negative",IF(OR(AND(B198="Is another domestic provider required?",OR(C198="Yes",C198="No"),B195="",ISNUMBER(MATCH(C194,$C$163:C193,0))),AND(B198="Is another domestic provider required?",OR(C198="Yes",C198="No"),B195="Type provider name manually",ISNUMBER(MATCH(C195,$C$163:C193,0)))),"WAIT: cannot enter same provider twice",IF(AND($B$158="Proceed below",B198="Is another domestic provider required?",C198="Yes"),"Choose provider from the list",IF(AND(B198="Is another domestic provider required?",C198="No"),"Proceed below to confirm details and complete Entry Form","")))))))))))))))))</f>
        <v/>
      </c>
      <c r="C199" s="240"/>
      <c r="D199" s="123" t="str">
        <f>IF(B199&lt;&gt;"Choose provider from the list","",IF(AND(B203&lt;&gt;"Is another domestic provider required?",C199=""),"E",IF(AND(B203&lt;&gt;"Is another domestic provider required?",C199&lt;&gt;""),"",IF(AND(OR(C203="Yes",C203="No"),NOT(ISNUMBER(MATCH(C199,H,0)))),"D",IF(AND(OR(C203="Yes",C203="No"),B200="",ISNUMBER(MATCH(C199,$C$163:C198,0))),"D",IF(AND(OR(C203="Yes",C203="No"),C199&lt;&gt;""),"C",IF(AND(OR(C203="Yes",C203="No"),C199=""),"D","")))))))</f>
        <v/>
      </c>
      <c r="E199" s="123" t="str">
        <f>IF(B199="Choose provider from the list","H","")</f>
        <v/>
      </c>
      <c r="F199" s="124" t="s">
        <v>612</v>
      </c>
      <c r="G199" s="124" t="s">
        <v>610</v>
      </c>
    </row>
    <row r="200" spans="1:7" ht="25.5" thickTop="1" thickBot="1" x14ac:dyDescent="0.5">
      <c r="A200" s="229"/>
      <c r="B200" s="183" t="str">
        <f>IF(B199&lt;&gt;"Choose provider from the list","",IF(C199&lt;&gt;"PROVIDER NOT LISTED","","Type provider name manually"))</f>
        <v/>
      </c>
      <c r="C200" s="240"/>
      <c r="D200" s="123" t="str">
        <f>IF(B199&lt;&gt;"Choose provider from the list","",IF(B200&lt;&gt;"Type provider name manually","",IF(AND(B200="Type provider name manually",C200=""),"E",IF(AND(B200="Type provider name manually",C200&lt;&gt;"",C203=""),"",IF(AND(B203="Is another domestic provider required?",C203&lt;&gt;"",C200&lt;&gt;"",ISNUMBER(MATCH(C200,$C$163:C198,0))),"D",IF(AND(B203="Is another domestic provider required?",C203&lt;&gt;"",C200&lt;&gt;"",NOT(ISNUMBER(MATCH(C200,$C$163:C198,0)))),"C",""))))))</f>
        <v/>
      </c>
      <c r="F200" s="124" t="s">
        <v>612</v>
      </c>
      <c r="G200" s="124" t="s">
        <v>490</v>
      </c>
    </row>
    <row r="201" spans="1:7" ht="25.5" thickTop="1" thickBot="1" x14ac:dyDescent="0.5">
      <c r="A201" s="229"/>
      <c r="B201" s="183" t="str">
        <f>IF(B194="","",IF(B199="Choose provider from the list","Total value of expenditure",IF(AND(B194="Proceed below to confirm details and complete Entry Form",C198="I do not confirm"),"Please revise entries or contact OLSC for assistance",IF(AND(B194="Proceed below to confirm details and complete Entry Form",C198="I confirm"),"Entry Form complete - proceed to Summary sheet",""))))</f>
        <v/>
      </c>
      <c r="C201" s="114"/>
      <c r="D201" s="123" t="str">
        <f>IF(B199&lt;&gt;"Choose provider from the list","",IF(OR(AND(B203&lt;&gt;"Is another domestic provider required?",C199&lt;&gt;"",C199&lt;&gt;"PROVIDER NOT LISTED"),AND(B203&lt;&gt;"Is another domestic provider required?",C199="PROVIDER NOT LISTED",C200&lt;&gt;"")),"E",IF(AND(B203&lt;&gt;"Is another domestic provider required?",C196&lt;&gt;""),"",IF(AND(C203&lt;&gt;"Yes",C203&lt;&gt;"No"),"",IF(NOT(ISNUMBER(C201)),"D",IF(AND(INT(C201)=C201,C201&lt;&gt;"",C201&gt;0),"C","D"))))))</f>
        <v/>
      </c>
      <c r="F201" s="124" t="s">
        <v>612</v>
      </c>
      <c r="G201" s="124" t="s">
        <v>490</v>
      </c>
    </row>
    <row r="202" spans="1:7" ht="25.5" thickTop="1" thickBot="1" x14ac:dyDescent="0.5">
      <c r="A202" s="229"/>
      <c r="B202" s="154"/>
      <c r="C202" s="179"/>
      <c r="F202" s="124" t="s">
        <v>490</v>
      </c>
      <c r="G202" s="124" t="s">
        <v>490</v>
      </c>
    </row>
    <row r="203" spans="1:7" ht="25.5" thickTop="1" thickBot="1" x14ac:dyDescent="0.5">
      <c r="A203" s="229"/>
      <c r="B203" s="236" t="str">
        <f>IF(B199="","",IF(B199="Proceed below to confirm details and complete Entry Form","Please confirm that the details entered into the Entry Form are correct",IF(OR(AND(B199="Choose provider from the list",C199&lt;&gt;"",C199&lt;&gt;"PROVIDER NOT LISTED",C201&lt;&gt;""),AND(B199="Choose provider from the list",C199="PROVIDER NOT LISTED",C200&lt;&gt;"",C201&lt;&gt;"")),"Is another domestic provider required?","")))</f>
        <v/>
      </c>
      <c r="C203" s="113"/>
      <c r="D203" s="123" t="str">
        <f>IF(OR(B204="Please select 'Yes' or 'No' from the drop down list",B204="Please select 'I confirm' or 'I do not confirm' from the drop down list"),"E","")</f>
        <v/>
      </c>
      <c r="E203" s="123" t="str">
        <f>IF(B203="Is another domestic provider required?","E",IF(B203="Please confirm that the details entered into the Entry Form are correct","B",""))</f>
        <v/>
      </c>
      <c r="F203" s="124" t="s">
        <v>612</v>
      </c>
      <c r="G203" s="124" t="s">
        <v>607</v>
      </c>
    </row>
    <row r="204" spans="1:7" ht="25.5" thickTop="1" thickBot="1" x14ac:dyDescent="0.5">
      <c r="A204" s="234" t="str">
        <f>IF(AND(B204="Choose provider from the list",C203="Yes"),"Domestic Provider "&amp;(ROW()-ROW(A$154))/5,"")</f>
        <v/>
      </c>
      <c r="B204" s="183" t="str">
        <f>IF($B$158&lt;&gt;"Proceed below","",IF(ISNUMBER(MATCH("Proceed below to confirm details and complete Entry Form",$B$163:B198,0)),"",IF(AND(B199&lt;&gt;"Choose provider from the list",B199&lt;&gt;"Proceed below to confirm details and complete Entry Form"),"",IF(AND(B203="Please confirm that the details entered into the Entry Form are correct",C203&lt;&gt;"I confirm",C203&lt;&gt;"I do not confirm"),"Please select 'I confirm' or 'I do not confirm' from the drop down list",IF(AND(B203="Please confirm that the details entered into the Entry Form are correct",OR(C203="I confirm",C203="I do not confirm")),"",IF(AND(B203="Is another domestic provider required?",C203&lt;&gt;"Yes",C203&lt;&gt;"No"),"Please select 'Yes' or 'No' from the drop down list",IF(AND(B203="Is another domestic provider required?",OR(C203="Yes",C203="No"),C199=""),"WAIT: you must select a provider from the list",IF(AND(B203="Is another domestic provider required?",OR(C203="Yes",C203="No"),C199="PROVIDER NOT LISTED",C200=""),"WAIT: You must enter a provider name",IF(AND(B203="Is another domestic provider required?",OR(C203="Yes",C203="No"),NOT(ISNUMBER(MATCH(C199,H,0)))),"WAIT: You must select a provider from the list or select 'PROVIDER NOT LISTED'",IF(AND(B203="Is another domestic provider required?",OR(C203="Yes",C203="No"),C201=""),"WAIT: you must enter an expenditure value",IF(AND(B203="Is another domestic provider required?",OR(C203="Yes",C203="No"),NOT(ISNUMBER(C201))),"WAIT: you must enter numbers only",IF(AND(B203="Is another domestic provider required?",OR(C203="Yes",C203="No"),INT(C201)&lt;&gt;C201),"WAIT: you must enter a whole dollar amount",IF(AND(B203="Is another domestic provider required?",OR(C203="Yes",C203="No"),C201=0),"WAIT: expenditure value cannot be 0",IF(AND(B203="Is another domestic provider required?",OR(C203="Yes",C203="No"),C201&lt;0),"WAIT: expenditure value cannot be negative",IF(OR(AND(B203="Is another domestic provider required?",OR(C203="Yes",C203="No"),B200="",ISNUMBER(MATCH(C199,$C$163:C198,0))),AND(B203="Is another domestic provider required?",OR(C203="Yes",C203="No"),B200="Type provider name manually",ISNUMBER(MATCH(C200,$C$163:C198,0)))),"WAIT: cannot enter same provider twice",IF(AND($B$158="Proceed below",B203="Is another domestic provider required?",C203="Yes"),"Choose provider from the list",IF(AND(B203="Is another domestic provider required?",C203="No"),"Proceed below to confirm details and complete Entry Form","")))))))))))))))))</f>
        <v/>
      </c>
      <c r="C204" s="240"/>
      <c r="D204" s="123" t="str">
        <f>IF(B204&lt;&gt;"Choose provider from the list","",IF(AND(B208&lt;&gt;"Is another domestic provider required?",C204=""),"E",IF(AND(B208&lt;&gt;"Is another domestic provider required?",C204&lt;&gt;""),"",IF(AND(OR(C208="Yes",C208="No"),NOT(ISNUMBER(MATCH(C204,H,0)))),"D",IF(AND(OR(C208="Yes",C208="No"),B205="",ISNUMBER(MATCH(C204,$C$163:C203,0))),"D",IF(AND(OR(C208="Yes",C208="No"),C204&lt;&gt;""),"C",IF(AND(OR(C208="Yes",C208="No"),C204=""),"D","")))))))</f>
        <v/>
      </c>
      <c r="E204" s="123" t="str">
        <f>IF(B204="Choose provider from the list","H","")</f>
        <v/>
      </c>
      <c r="F204" s="124" t="s">
        <v>612</v>
      </c>
      <c r="G204" s="124" t="s">
        <v>610</v>
      </c>
    </row>
    <row r="205" spans="1:7" ht="25.5" thickTop="1" thickBot="1" x14ac:dyDescent="0.5">
      <c r="A205" s="229"/>
      <c r="B205" s="183" t="str">
        <f>IF(B204&lt;&gt;"Choose provider from the list","",IF(C204&lt;&gt;"PROVIDER NOT LISTED","","Type provider name manually"))</f>
        <v/>
      </c>
      <c r="C205" s="240"/>
      <c r="D205" s="123" t="str">
        <f>IF(B204&lt;&gt;"Choose provider from the list","",IF(B205&lt;&gt;"Type provider name manually","",IF(AND(B205="Type provider name manually",C205=""),"E",IF(AND(B205="Type provider name manually",C205&lt;&gt;"",C208=""),"",IF(AND(B208="Is another domestic provider required?",C208&lt;&gt;"",C205&lt;&gt;"",ISNUMBER(MATCH(C205,$C$163:C203,0))),"D",IF(AND(B208="Is another domestic provider required?",C208&lt;&gt;"",C205&lt;&gt;"",NOT(ISNUMBER(MATCH(C205,$C$163:C203,0)))),"C",""))))))</f>
        <v/>
      </c>
      <c r="F205" s="124" t="s">
        <v>612</v>
      </c>
      <c r="G205" s="124" t="s">
        <v>490</v>
      </c>
    </row>
    <row r="206" spans="1:7" ht="25.5" thickTop="1" thickBot="1" x14ac:dyDescent="0.5">
      <c r="A206" s="229"/>
      <c r="B206" s="183" t="str">
        <f>IF(B199="","",IF(B204="Choose provider from the list","Total value of expenditure",IF(AND(B199="Proceed below to confirm details and complete Entry Form",C203="I do not confirm"),"Please revise entries or contact OLSC for assistance",IF(AND(B199="Proceed below to confirm details and complete Entry Form",C203="I confirm"),"Entry Form complete - proceed to Summary sheet",""))))</f>
        <v/>
      </c>
      <c r="C206" s="114"/>
      <c r="D206" s="123" t="str">
        <f>IF(B204&lt;&gt;"Choose provider from the list","",IF(OR(AND(B208&lt;&gt;"Is another domestic provider required?",C204&lt;&gt;"",C204&lt;&gt;"PROVIDER NOT LISTED"),AND(B208&lt;&gt;"Is another domestic provider required?",C204="PROVIDER NOT LISTED",C205&lt;&gt;"")),"E",IF(AND(B208&lt;&gt;"Is another domestic provider required?",C201&lt;&gt;""),"",IF(AND(C208&lt;&gt;"Yes",C208&lt;&gt;"No"),"",IF(NOT(ISNUMBER(C206)),"D",IF(AND(INT(C206)=C206,C206&lt;&gt;"",C206&gt;0),"C","D"))))))</f>
        <v/>
      </c>
      <c r="F206" s="124" t="s">
        <v>612</v>
      </c>
      <c r="G206" s="124" t="s">
        <v>490</v>
      </c>
    </row>
    <row r="207" spans="1:7" ht="25.5" thickTop="1" thickBot="1" x14ac:dyDescent="0.5">
      <c r="A207" s="229"/>
      <c r="B207" s="154"/>
      <c r="C207" s="179"/>
      <c r="F207" s="124" t="s">
        <v>490</v>
      </c>
      <c r="G207" s="124" t="s">
        <v>490</v>
      </c>
    </row>
    <row r="208" spans="1:7" ht="25.5" thickTop="1" thickBot="1" x14ac:dyDescent="0.5">
      <c r="A208" s="229"/>
      <c r="B208" s="236" t="str">
        <f>IF(B204="","",IF(B204="Proceed below to confirm details and complete Entry Form","Please confirm that the details entered into the Entry Form are correct",IF(OR(AND(B204="Choose provider from the list",C204&lt;&gt;"",C204&lt;&gt;"PROVIDER NOT LISTED",C206&lt;&gt;""),AND(B204="Choose provider from the list",C204="PROVIDER NOT LISTED",C205&lt;&gt;"",C206&lt;&gt;"")),"Is another domestic provider required?","")))</f>
        <v/>
      </c>
      <c r="C208" s="113"/>
      <c r="D208" s="123" t="str">
        <f>IF(OR(B209="Please select 'Yes' or 'No' from the drop down list",B209="Please select 'I confirm' or 'I do not confirm' from the drop down list"),"E","")</f>
        <v/>
      </c>
      <c r="E208" s="123" t="str">
        <f>IF(B208="Is another domestic provider required?","E",IF(B208="Please confirm that the details entered into the Entry Form are correct","B",""))</f>
        <v/>
      </c>
      <c r="F208" s="124" t="s">
        <v>612</v>
      </c>
      <c r="G208" s="124" t="s">
        <v>607</v>
      </c>
    </row>
    <row r="209" spans="1:7" ht="25.5" thickTop="1" thickBot="1" x14ac:dyDescent="0.5">
      <c r="A209" s="234" t="str">
        <f>IF(AND(B209="Choose provider from the list",C208="Yes"),"Domestic Provider "&amp;(ROW()-ROW(A$154))/5,"")</f>
        <v/>
      </c>
      <c r="B209" s="183" t="str">
        <f>IF($B$158&lt;&gt;"Proceed below","",IF(ISNUMBER(MATCH("Proceed below to confirm details and complete Entry Form",$B$163:B203,0)),"",IF(AND(B204&lt;&gt;"Choose provider from the list",B204&lt;&gt;"Proceed below to confirm details and complete Entry Form"),"",IF(AND(B208="Please confirm that the details entered into the Entry Form are correct",C208&lt;&gt;"I confirm",C208&lt;&gt;"I do not confirm"),"Please select 'I confirm' or 'I do not confirm' from the drop down list",IF(AND(B208="Please confirm that the details entered into the Entry Form are correct",OR(C208="I confirm",C208="I do not confirm")),"",IF(AND(B208="Is another domestic provider required?",C208&lt;&gt;"Yes",C208&lt;&gt;"No"),"Please select 'Yes' or 'No' from the drop down list",IF(AND(B208="Is another domestic provider required?",OR(C208="Yes",C208="No"),C204=""),"WAIT: you must select a provider from the list",IF(AND(B208="Is another domestic provider required?",OR(C208="Yes",C208="No"),C204="PROVIDER NOT LISTED",C205=""),"WAIT: You must enter a provider name",IF(AND(B208="Is another domestic provider required?",OR(C208="Yes",C208="No"),NOT(ISNUMBER(MATCH(C204,H,0)))),"WAIT: You must select a provider from the list or select 'PROVIDER NOT LISTED'",IF(AND(B208="Is another domestic provider required?",OR(C208="Yes",C208="No"),C206=""),"WAIT: you must enter an expenditure value",IF(AND(B208="Is another domestic provider required?",OR(C208="Yes",C208="No"),NOT(ISNUMBER(C206))),"WAIT: you must enter numbers only",IF(AND(B208="Is another domestic provider required?",OR(C208="Yes",C208="No"),INT(C206)&lt;&gt;C206),"WAIT: you must enter a whole dollar amount",IF(AND(B208="Is another domestic provider required?",OR(C208="Yes",C208="No"),C206=0),"WAIT: expenditure value cannot be 0",IF(AND(B208="Is another domestic provider required?",OR(C208="Yes",C208="No"),C206&lt;0),"WAIT: expenditure value cannot be negative",IF(OR(AND(B208="Is another domestic provider required?",OR(C208="Yes",C208="No"),B205="",ISNUMBER(MATCH(C204,$C$163:C203,0))),AND(B208="Is another domestic provider required?",OR(C208="Yes",C208="No"),B205="Type provider name manually",ISNUMBER(MATCH(C205,$C$163:C203,0)))),"WAIT: cannot enter same provider twice",IF(AND($B$158="Proceed below",B208="Is another domestic provider required?",C208="Yes"),"Choose provider from the list",IF(AND(B208="Is another domestic provider required?",C208="No"),"Proceed below to confirm details and complete Entry Form","")))))))))))))))))</f>
        <v/>
      </c>
      <c r="C209" s="240"/>
      <c r="D209" s="123" t="str">
        <f>IF(B209&lt;&gt;"Choose provider from the list","",IF(AND(B213&lt;&gt;"Is another domestic provider required?",C209=""),"E",IF(AND(B213&lt;&gt;"Is another domestic provider required?",C209&lt;&gt;""),"",IF(AND(OR(C213="Yes",C213="No"),NOT(ISNUMBER(MATCH(C209,H,0)))),"D",IF(AND(OR(C213="Yes",C213="No"),B210="",ISNUMBER(MATCH(C209,$C$163:C208,0))),"D",IF(AND(OR(C213="Yes",C213="No"),C209&lt;&gt;""),"C",IF(AND(OR(C213="Yes",C213="No"),C209=""),"D","")))))))</f>
        <v/>
      </c>
      <c r="E209" s="123" t="str">
        <f>IF(B209="Choose provider from the list","H","")</f>
        <v/>
      </c>
      <c r="F209" s="124" t="s">
        <v>612</v>
      </c>
      <c r="G209" s="124" t="s">
        <v>610</v>
      </c>
    </row>
    <row r="210" spans="1:7" ht="25.5" thickTop="1" thickBot="1" x14ac:dyDescent="0.5">
      <c r="A210" s="229"/>
      <c r="B210" s="183" t="str">
        <f>IF(B209&lt;&gt;"Choose provider from the list","",IF(C209&lt;&gt;"PROVIDER NOT LISTED","","Type provider name manually"))</f>
        <v/>
      </c>
      <c r="C210" s="240"/>
      <c r="D210" s="123" t="str">
        <f>IF(B209&lt;&gt;"Choose provider from the list","",IF(B210&lt;&gt;"Type provider name manually","",IF(AND(B210="Type provider name manually",C210=""),"E",IF(AND(B210="Type provider name manually",C210&lt;&gt;"",C213=""),"",IF(AND(B213="Is another domestic provider required?",C213&lt;&gt;"",C210&lt;&gt;"",ISNUMBER(MATCH(C210,$C$163:C208,0))),"D",IF(AND(B213="Is another domestic provider required?",C213&lt;&gt;"",C210&lt;&gt;"",NOT(ISNUMBER(MATCH(C210,$C$163:C208,0)))),"C",""))))))</f>
        <v/>
      </c>
      <c r="F210" s="124" t="s">
        <v>612</v>
      </c>
      <c r="G210" s="124" t="s">
        <v>490</v>
      </c>
    </row>
    <row r="211" spans="1:7" ht="25.5" thickTop="1" thickBot="1" x14ac:dyDescent="0.5">
      <c r="A211" s="229"/>
      <c r="B211" s="183" t="str">
        <f>IF(B204="","",IF(B209="Choose provider from the list","Total value of expenditure",IF(AND(B204="Proceed below to confirm details and complete Entry Form",C208="I do not confirm"),"Please revise entries or contact OLSC for assistance",IF(AND(B204="Proceed below to confirm details and complete Entry Form",C208="I confirm"),"Entry Form complete - proceed to Summary sheet",""))))</f>
        <v/>
      </c>
      <c r="C211" s="114"/>
      <c r="D211" s="123" t="str">
        <f>IF(B209&lt;&gt;"Choose provider from the list","",IF(OR(AND(B213&lt;&gt;"Is another domestic provider required?",C209&lt;&gt;"",C209&lt;&gt;"PROVIDER NOT LISTED"),AND(B213&lt;&gt;"Is another domestic provider required?",C209="PROVIDER NOT LISTED",C210&lt;&gt;"")),"E",IF(AND(B213&lt;&gt;"Is another domestic provider required?",C206&lt;&gt;""),"",IF(AND(C213&lt;&gt;"Yes",C213&lt;&gt;"No"),"",IF(NOT(ISNUMBER(C211)),"D",IF(AND(INT(C211)=C211,C211&lt;&gt;"",C211&gt;0),"C","D"))))))</f>
        <v/>
      </c>
      <c r="F211" s="124" t="s">
        <v>612</v>
      </c>
      <c r="G211" s="124" t="s">
        <v>490</v>
      </c>
    </row>
    <row r="212" spans="1:7" ht="25.5" thickTop="1" thickBot="1" x14ac:dyDescent="0.5">
      <c r="A212" s="229"/>
      <c r="B212" s="154"/>
      <c r="C212" s="179"/>
      <c r="F212" s="124" t="s">
        <v>490</v>
      </c>
      <c r="G212" s="124" t="s">
        <v>490</v>
      </c>
    </row>
    <row r="213" spans="1:7" ht="25.5" thickTop="1" thickBot="1" x14ac:dyDescent="0.5">
      <c r="A213" s="229"/>
      <c r="B213" s="236" t="str">
        <f>IF(B209="","",IF(B209="Proceed below to confirm details and complete Entry Form","Please confirm that the details entered into the Entry Form are correct",IF(OR(AND(B209="Choose provider from the list",C209&lt;&gt;"",C209&lt;&gt;"PROVIDER NOT LISTED",C211&lt;&gt;""),AND(B209="Choose provider from the list",C209="PROVIDER NOT LISTED",C210&lt;&gt;"",C211&lt;&gt;"")),"Is another domestic provider required?","")))</f>
        <v/>
      </c>
      <c r="C213" s="113"/>
      <c r="D213" s="123" t="str">
        <f>IF(OR(B214="Please select 'Yes' or 'No' from the drop down list",B214="Please select 'I confirm' or 'I do not confirm' from the drop down list"),"E","")</f>
        <v/>
      </c>
      <c r="E213" s="123" t="str">
        <f>IF(B213="Is another domestic provider required?","E",IF(B213="Please confirm that the details entered into the Entry Form are correct","B",""))</f>
        <v/>
      </c>
      <c r="F213" s="124" t="s">
        <v>612</v>
      </c>
      <c r="G213" s="124" t="s">
        <v>607</v>
      </c>
    </row>
    <row r="214" spans="1:7" ht="25.5" thickTop="1" thickBot="1" x14ac:dyDescent="0.5">
      <c r="A214" s="234" t="str">
        <f>IF(AND(B214="Choose provider from the list",C213="Yes"),"Domestic Provider "&amp;(ROW()-ROW(A$154))/5,"")</f>
        <v/>
      </c>
      <c r="B214" s="183" t="str">
        <f>IF($B$158&lt;&gt;"Proceed below","",IF(ISNUMBER(MATCH("Proceed below to confirm details and complete Entry Form",$B$163:B208,0)),"",IF(AND(B209&lt;&gt;"Choose provider from the list",B209&lt;&gt;"Proceed below to confirm details and complete Entry Form"),"",IF(AND(B213="Please confirm that the details entered into the Entry Form are correct",C213&lt;&gt;"I confirm",C213&lt;&gt;"I do not confirm"),"Please select 'I confirm' or 'I do not confirm' from the drop down list",IF(AND(B213="Please confirm that the details entered into the Entry Form are correct",OR(C213="I confirm",C213="I do not confirm")),"",IF(AND(B213="Is another domestic provider required?",C213&lt;&gt;"Yes",C213&lt;&gt;"No"),"Please select 'Yes' or 'No' from the drop down list",IF(AND(B213="Is another domestic provider required?",OR(C213="Yes",C213="No"),C209=""),"WAIT: you must select a provider from the list",IF(AND(B213="Is another domestic provider required?",OR(C213="Yes",C213="No"),C209="PROVIDER NOT LISTED",C210=""),"WAIT: You must enter a provider name",IF(AND(B213="Is another domestic provider required?",OR(C213="Yes",C213="No"),NOT(ISNUMBER(MATCH(C209,H,0)))),"WAIT: You must select a provider from the list or select 'PROVIDER NOT LISTED'",IF(AND(B213="Is another domestic provider required?",OR(C213="Yes",C213="No"),C211=""),"WAIT: you must enter an expenditure value",IF(AND(B213="Is another domestic provider required?",OR(C213="Yes",C213="No"),NOT(ISNUMBER(C211))),"WAIT: you must enter numbers only",IF(AND(B213="Is another domestic provider required?",OR(C213="Yes",C213="No"),INT(C211)&lt;&gt;C211),"WAIT: you must enter a whole dollar amount",IF(AND(B213="Is another domestic provider required?",OR(C213="Yes",C213="No"),C211=0),"WAIT: expenditure value cannot be 0",IF(AND(B213="Is another domestic provider required?",OR(C213="Yes",C213="No"),C211&lt;0),"WAIT: expenditure value cannot be negative",IF(OR(AND(B213="Is another domestic provider required?",OR(C213="Yes",C213="No"),B210="",ISNUMBER(MATCH(C209,$C$163:C208,0))),AND(B213="Is another domestic provider required?",OR(C213="Yes",C213="No"),B210="Type provider name manually",ISNUMBER(MATCH(C210,$C$163:C208,0)))),"WAIT: cannot enter same provider twice",IF(AND($B$158="Proceed below",B213="Is another domestic provider required?",C213="Yes"),"Choose provider from the list",IF(AND(B213="Is another domestic provider required?",C213="No"),"Proceed below to confirm details and complete Entry Form","")))))))))))))))))</f>
        <v/>
      </c>
      <c r="C214" s="240"/>
      <c r="D214" s="123" t="str">
        <f>IF(B214&lt;&gt;"Choose provider from the list","",IF(AND(B218&lt;&gt;"Is another domestic provider required?",C214=""),"E",IF(AND(B218&lt;&gt;"Is another domestic provider required?",C214&lt;&gt;""),"",IF(AND(OR(C218="Yes",C218="No"),NOT(ISNUMBER(MATCH(C214,H,0)))),"D",IF(AND(OR(C218="Yes",C218="No"),B215="",ISNUMBER(MATCH(C214,$C$163:C213,0))),"D",IF(AND(OR(C218="Yes",C218="No"),C214&lt;&gt;""),"C",IF(AND(OR(C218="Yes",C218="No"),C214=""),"D","")))))))</f>
        <v/>
      </c>
      <c r="E214" s="123" t="str">
        <f>IF(B214="Choose provider from the list","H","")</f>
        <v/>
      </c>
      <c r="F214" s="124" t="s">
        <v>612</v>
      </c>
      <c r="G214" s="124" t="s">
        <v>610</v>
      </c>
    </row>
    <row r="215" spans="1:7" ht="25.5" thickTop="1" thickBot="1" x14ac:dyDescent="0.5">
      <c r="A215" s="229"/>
      <c r="B215" s="183" t="str">
        <f>IF(B214&lt;&gt;"Choose provider from the list","",IF(C214&lt;&gt;"PROVIDER NOT LISTED","","Type provider name manually"))</f>
        <v/>
      </c>
      <c r="C215" s="240"/>
      <c r="D215" s="123" t="str">
        <f>IF(B214&lt;&gt;"Choose provider from the list","",IF(B215&lt;&gt;"Type provider name manually","",IF(AND(B215="Type provider name manually",C215=""),"E",IF(AND(B215="Type provider name manually",C215&lt;&gt;"",C218=""),"",IF(AND(B218="Is another domestic provider required?",C218&lt;&gt;"",C215&lt;&gt;"",ISNUMBER(MATCH(C215,$C$163:C213,0))),"D",IF(AND(B218="Is another domestic provider required?",C218&lt;&gt;"",C215&lt;&gt;"",NOT(ISNUMBER(MATCH(C215,$C$163:C213,0)))),"C",""))))))</f>
        <v/>
      </c>
      <c r="F215" s="124" t="s">
        <v>612</v>
      </c>
      <c r="G215" s="124" t="s">
        <v>490</v>
      </c>
    </row>
    <row r="216" spans="1:7" ht="25.5" thickTop="1" thickBot="1" x14ac:dyDescent="0.5">
      <c r="A216" s="229"/>
      <c r="B216" s="183" t="str">
        <f>IF(B209="","",IF(B214="Choose provider from the list","Total value of expenditure",IF(AND(B209="Proceed below to confirm details and complete Entry Form",C213="I do not confirm"),"Please revise entries or contact OLSC for assistance",IF(AND(B209="Proceed below to confirm details and complete Entry Form",C213="I confirm"),"Entry Form complete - proceed to Summary sheet",""))))</f>
        <v/>
      </c>
      <c r="C216" s="114"/>
      <c r="D216" s="123" t="str">
        <f>IF(B214&lt;&gt;"Choose provider from the list","",IF(OR(AND(B218&lt;&gt;"Is another domestic provider required?",C214&lt;&gt;"",C214&lt;&gt;"PROVIDER NOT LISTED"),AND(B218&lt;&gt;"Is another domestic provider required?",C214="PROVIDER NOT LISTED",C215&lt;&gt;"")),"E",IF(AND(B218&lt;&gt;"Is another domestic provider required?",C211&lt;&gt;""),"",IF(AND(C218&lt;&gt;"Yes",C218&lt;&gt;"No"),"",IF(NOT(ISNUMBER(C216)),"D",IF(AND(INT(C216)=C216,C216&lt;&gt;"",C216&gt;0),"C","D"))))))</f>
        <v/>
      </c>
      <c r="F216" s="124" t="s">
        <v>612</v>
      </c>
      <c r="G216" s="124" t="s">
        <v>490</v>
      </c>
    </row>
    <row r="217" spans="1:7" ht="25.5" thickTop="1" thickBot="1" x14ac:dyDescent="0.5">
      <c r="A217" s="229"/>
      <c r="B217" s="154"/>
      <c r="C217" s="179"/>
      <c r="F217" s="124" t="s">
        <v>490</v>
      </c>
      <c r="G217" s="124" t="s">
        <v>490</v>
      </c>
    </row>
    <row r="218" spans="1:7" ht="25.5" thickTop="1" thickBot="1" x14ac:dyDescent="0.5">
      <c r="A218" s="229"/>
      <c r="B218" s="236" t="str">
        <f>IF(B214="","",IF(B214="Proceed below to confirm details and complete Entry Form","Please confirm that the details entered into the Entry Form are correct",IF(OR(AND(B214="Choose provider from the list",C214&lt;&gt;"",C214&lt;&gt;"PROVIDER NOT LISTED",C216&lt;&gt;""),AND(B214="Choose provider from the list",C214="PROVIDER NOT LISTED",C215&lt;&gt;"",C216&lt;&gt;"")),"Is another domestic provider required?","")))</f>
        <v/>
      </c>
      <c r="C218" s="113"/>
      <c r="D218" s="123" t="str">
        <f>IF(OR(B219="Please select 'Yes' or 'No' from the drop down list",B219="Please select 'I confirm' or 'I do not confirm' from the drop down list"),"E","")</f>
        <v/>
      </c>
      <c r="E218" s="123" t="str">
        <f>IF(B218="Is another domestic provider required?","E",IF(B218="Please confirm that the details entered into the Entry Form are correct","B",""))</f>
        <v/>
      </c>
      <c r="F218" s="124" t="s">
        <v>612</v>
      </c>
      <c r="G218" s="124" t="s">
        <v>607</v>
      </c>
    </row>
    <row r="219" spans="1:7" ht="25.5" thickTop="1" thickBot="1" x14ac:dyDescent="0.5">
      <c r="A219" s="234" t="str">
        <f>IF(AND(B219="Choose provider from the list",C218="Yes"),"Domestic Provider "&amp;(ROW()-ROW(A$154))/5,"")</f>
        <v/>
      </c>
      <c r="B219" s="183" t="str">
        <f>IF($B$158&lt;&gt;"Proceed below","",IF(ISNUMBER(MATCH("Proceed below to confirm details and complete Entry Form",$B$163:B213,0)),"",IF(AND(B214&lt;&gt;"Choose provider from the list",B214&lt;&gt;"Proceed below to confirm details and complete Entry Form"),"",IF(AND(B218="Please confirm that the details entered into the Entry Form are correct",C218&lt;&gt;"I confirm",C218&lt;&gt;"I do not confirm"),"Please select 'I confirm' or 'I do not confirm' from the drop down list",IF(AND(B218="Please confirm that the details entered into the Entry Form are correct",OR(C218="I confirm",C218="I do not confirm")),"",IF(AND(B218="Is another domestic provider required?",C218&lt;&gt;"Yes",C218&lt;&gt;"No"),"Please select 'Yes' or 'No' from the drop down list",IF(AND(B218="Is another domestic provider required?",OR(C218="Yes",C218="No"),C214=""),"WAIT: you must select a provider from the list",IF(AND(B218="Is another domestic provider required?",OR(C218="Yes",C218="No"),C214="PROVIDER NOT LISTED",C215=""),"WAIT: You must enter a provider name",IF(AND(B218="Is another domestic provider required?",OR(C218="Yes",C218="No"),NOT(ISNUMBER(MATCH(C214,H,0)))),"WAIT: You must select a provider from the list or select 'PROVIDER NOT LISTED'",IF(AND(B218="Is another domestic provider required?",OR(C218="Yes",C218="No"),C216=""),"WAIT: you must enter an expenditure value",IF(AND(B218="Is another domestic provider required?",OR(C218="Yes",C218="No"),NOT(ISNUMBER(C216))),"WAIT: you must enter numbers only",IF(AND(B218="Is another domestic provider required?",OR(C218="Yes",C218="No"),INT(C216)&lt;&gt;C216),"WAIT: you must enter a whole dollar amount",IF(AND(B218="Is another domestic provider required?",OR(C218="Yes",C218="No"),C216=0),"WAIT: expenditure value cannot be 0",IF(AND(B218="Is another domestic provider required?",OR(C218="Yes",C218="No"),C216&lt;0),"WAIT: expenditure value cannot be negative",IF(OR(AND(B218="Is another domestic provider required?",OR(C218="Yes",C218="No"),B215="",ISNUMBER(MATCH(C214,$C$163:C213,0))),AND(B218="Is another domestic provider required?",OR(C218="Yes",C218="No"),B215="Type provider name manually",ISNUMBER(MATCH(C215,$C$163:C213,0)))),"WAIT: cannot enter same provider twice",IF(AND($B$158="Proceed below",B218="Is another domestic provider required?",C218="Yes"),"Choose provider from the list",IF(AND(B218="Is another domestic provider required?",C218="No"),"Proceed below to confirm details and complete Entry Form","")))))))))))))))))</f>
        <v/>
      </c>
      <c r="C219" s="240"/>
      <c r="D219" s="123" t="str">
        <f>IF(B219&lt;&gt;"Choose provider from the list","",IF(AND(B223&lt;&gt;"Is another domestic provider required?",C219=""),"E",IF(AND(B223&lt;&gt;"Is another domestic provider required?",C219&lt;&gt;""),"",IF(AND(OR(C223="Yes",C223="No"),NOT(ISNUMBER(MATCH(C219,H,0)))),"D",IF(AND(OR(C223="Yes",C223="No"),B220="",ISNUMBER(MATCH(C219,$C$163:C218,0))),"D",IF(AND(OR(C223="Yes",C223="No"),C219&lt;&gt;""),"C",IF(AND(OR(C223="Yes",C223="No"),C219=""),"D","")))))))</f>
        <v/>
      </c>
      <c r="E219" s="123" t="str">
        <f>IF(B219="Choose provider from the list","H","")</f>
        <v/>
      </c>
      <c r="F219" s="124" t="s">
        <v>612</v>
      </c>
      <c r="G219" s="124" t="s">
        <v>610</v>
      </c>
    </row>
    <row r="220" spans="1:7" ht="25.5" thickTop="1" thickBot="1" x14ac:dyDescent="0.5">
      <c r="A220" s="229"/>
      <c r="B220" s="183" t="str">
        <f>IF(B219&lt;&gt;"Choose provider from the list","",IF(C219&lt;&gt;"PROVIDER NOT LISTED","","Type provider name manually"))</f>
        <v/>
      </c>
      <c r="C220" s="240"/>
      <c r="D220" s="123" t="str">
        <f>IF(B219&lt;&gt;"Choose provider from the list","",IF(B220&lt;&gt;"Type provider name manually","",IF(AND(B220="Type provider name manually",C220=""),"E",IF(AND(B220="Type provider name manually",C220&lt;&gt;"",C223=""),"",IF(AND(B223="Is another domestic provider required?",C223&lt;&gt;"",C220&lt;&gt;"",ISNUMBER(MATCH(C220,$C$163:C218,0))),"D",IF(AND(B223="Is another domestic provider required?",C223&lt;&gt;"",C220&lt;&gt;"",NOT(ISNUMBER(MATCH(C220,$C$163:C218,0)))),"C",""))))))</f>
        <v/>
      </c>
      <c r="F220" s="124" t="s">
        <v>612</v>
      </c>
      <c r="G220" s="124" t="s">
        <v>490</v>
      </c>
    </row>
    <row r="221" spans="1:7" ht="25.5" thickTop="1" thickBot="1" x14ac:dyDescent="0.5">
      <c r="A221" s="229"/>
      <c r="B221" s="183" t="str">
        <f>IF(B214="","",IF(B219="Choose provider from the list","Total value of expenditure",IF(AND(B214="Proceed below to confirm details and complete Entry Form",C218="I do not confirm"),"Please revise entries or contact OLSC for assistance",IF(AND(B214="Proceed below to confirm details and complete Entry Form",C218="I confirm"),"Entry Form complete - proceed to Summary sheet",""))))</f>
        <v/>
      </c>
      <c r="C221" s="114"/>
      <c r="D221" s="123" t="str">
        <f>IF(B219&lt;&gt;"Choose provider from the list","",IF(OR(AND(B223&lt;&gt;"Is another domestic provider required?",C219&lt;&gt;"",C219&lt;&gt;"PROVIDER NOT LISTED"),AND(B223&lt;&gt;"Is another domestic provider required?",C219="PROVIDER NOT LISTED",C220&lt;&gt;"")),"E",IF(AND(B223&lt;&gt;"Is another domestic provider required?",C216&lt;&gt;""),"",IF(AND(C223&lt;&gt;"Yes",C223&lt;&gt;"No"),"",IF(NOT(ISNUMBER(C221)),"D",IF(AND(INT(C221)=C221,C221&lt;&gt;"",C221&gt;0),"C","D"))))))</f>
        <v/>
      </c>
      <c r="F221" s="124" t="s">
        <v>612</v>
      </c>
      <c r="G221" s="124" t="s">
        <v>490</v>
      </c>
    </row>
    <row r="222" spans="1:7" ht="25.5" thickTop="1" thickBot="1" x14ac:dyDescent="0.5">
      <c r="A222" s="229"/>
      <c r="B222" s="154"/>
      <c r="C222" s="179"/>
      <c r="F222" s="124" t="s">
        <v>490</v>
      </c>
      <c r="G222" s="124" t="s">
        <v>490</v>
      </c>
    </row>
    <row r="223" spans="1:7" ht="25.5" thickTop="1" thickBot="1" x14ac:dyDescent="0.5">
      <c r="A223" s="229"/>
      <c r="B223" s="236" t="str">
        <f>IF(B219="","",IF(B219="Proceed below to confirm details and complete Entry Form","Please confirm that the details entered into the Entry Form are correct",IF(OR(AND(B219="Choose provider from the list",C219&lt;&gt;"",C219&lt;&gt;"PROVIDER NOT LISTED",C221&lt;&gt;""),AND(B219="Choose provider from the list",C219="PROVIDER NOT LISTED",C220&lt;&gt;"",C221&lt;&gt;"")),"Is another domestic provider required?","")))</f>
        <v/>
      </c>
      <c r="C223" s="113"/>
      <c r="D223" s="123" t="str">
        <f>IF(OR(B224="Please select 'Yes' or 'No' from the drop down list",B224="Please select 'I confirm' or 'I do not confirm' from the drop down list"),"E","")</f>
        <v/>
      </c>
      <c r="E223" s="123" t="str">
        <f>IF(B223="Is another domestic provider required?","E",IF(B223="Please confirm that the details entered into the Entry Form are correct","B",""))</f>
        <v/>
      </c>
      <c r="F223" s="124" t="s">
        <v>612</v>
      </c>
      <c r="G223" s="124" t="s">
        <v>607</v>
      </c>
    </row>
    <row r="224" spans="1:7" ht="25.5" thickTop="1" thickBot="1" x14ac:dyDescent="0.5">
      <c r="A224" s="234" t="str">
        <f>IF(AND(B224="Choose provider from the list",C223="Yes"),"Domestic Provider "&amp;(ROW()-ROW(A$154))/5,"")</f>
        <v/>
      </c>
      <c r="B224" s="183" t="str">
        <f>IF($B$158&lt;&gt;"Proceed below","",IF(ISNUMBER(MATCH("Proceed below to confirm details and complete Entry Form",$B$163:B218,0)),"",IF(AND(B219&lt;&gt;"Choose provider from the list",B219&lt;&gt;"Proceed below to confirm details and complete Entry Form"),"",IF(AND(B223="Please confirm that the details entered into the Entry Form are correct",C223&lt;&gt;"I confirm",C223&lt;&gt;"I do not confirm"),"Please select 'I confirm' or 'I do not confirm' from the drop down list",IF(AND(B223="Please confirm that the details entered into the Entry Form are correct",OR(C223="I confirm",C223="I do not confirm")),"",IF(AND(B223="Is another domestic provider required?",C223&lt;&gt;"Yes",C223&lt;&gt;"No"),"Please select 'Yes' or 'No' from the drop down list",IF(AND(B223="Is another domestic provider required?",OR(C223="Yes",C223="No"),C219=""),"WAIT: you must select a provider from the list",IF(AND(B223="Is another domestic provider required?",OR(C223="Yes",C223="No"),C219="PROVIDER NOT LISTED",C220=""),"WAIT: You must enter a provider name",IF(AND(B223="Is another domestic provider required?",OR(C223="Yes",C223="No"),NOT(ISNUMBER(MATCH(C219,H,0)))),"WAIT: You must select a provider from the list or select 'PROVIDER NOT LISTED'",IF(AND(B223="Is another domestic provider required?",OR(C223="Yes",C223="No"),C221=""),"WAIT: you must enter an expenditure value",IF(AND(B223="Is another domestic provider required?",OR(C223="Yes",C223="No"),NOT(ISNUMBER(C221))),"WAIT: you must enter numbers only",IF(AND(B223="Is another domestic provider required?",OR(C223="Yes",C223="No"),INT(C221)&lt;&gt;C221),"WAIT: you must enter a whole dollar amount",IF(AND(B223="Is another domestic provider required?",OR(C223="Yes",C223="No"),C221=0),"WAIT: expenditure value cannot be 0",IF(AND(B223="Is another domestic provider required?",OR(C223="Yes",C223="No"),C221&lt;0),"WAIT: expenditure value cannot be negative",IF(OR(AND(B223="Is another domestic provider required?",OR(C223="Yes",C223="No"),B220="",ISNUMBER(MATCH(C219,$C$163:C218,0))),AND(B223="Is another domestic provider required?",OR(C223="Yes",C223="No"),B220="Type provider name manually",ISNUMBER(MATCH(C220,$C$163:C218,0)))),"WAIT: cannot enter same provider twice",IF(AND($B$158="Proceed below",B223="Is another domestic provider required?",C223="Yes"),"Choose provider from the list",IF(AND(B223="Is another domestic provider required?",C223="No"),"Proceed below to confirm details and complete Entry Form","")))))))))))))))))</f>
        <v/>
      </c>
      <c r="C224" s="240"/>
      <c r="D224" s="123" t="str">
        <f>IF(B224&lt;&gt;"Choose provider from the list","",IF(AND(B228&lt;&gt;"Is another domestic provider required?",C224=""),"E",IF(AND(B228&lt;&gt;"Is another domestic provider required?",C224&lt;&gt;""),"",IF(AND(OR(C228="Yes",C228="No"),NOT(ISNUMBER(MATCH(C224,H,0)))),"D",IF(AND(OR(C228="Yes",C228="No"),B225="",ISNUMBER(MATCH(C224,$C$163:C223,0))),"D",IF(AND(OR(C228="Yes",C228="No"),C224&lt;&gt;""),"C",IF(AND(OR(C228="Yes",C228="No"),C224=""),"D","")))))))</f>
        <v/>
      </c>
      <c r="E224" s="123" t="str">
        <f>IF(B224="Choose provider from the list","H","")</f>
        <v/>
      </c>
      <c r="F224" s="124" t="s">
        <v>612</v>
      </c>
      <c r="G224" s="124" t="s">
        <v>610</v>
      </c>
    </row>
    <row r="225" spans="1:7" ht="25.5" thickTop="1" thickBot="1" x14ac:dyDescent="0.5">
      <c r="A225" s="229"/>
      <c r="B225" s="183" t="str">
        <f>IF(B224&lt;&gt;"Choose provider from the list","",IF(C224&lt;&gt;"PROVIDER NOT LISTED","","Type provider name manually"))</f>
        <v/>
      </c>
      <c r="C225" s="240"/>
      <c r="D225" s="123" t="str">
        <f>IF(B224&lt;&gt;"Choose provider from the list","",IF(B225&lt;&gt;"Type provider name manually","",IF(AND(B225="Type provider name manually",C225=""),"E",IF(AND(B225="Type provider name manually",C225&lt;&gt;"",C228=""),"",IF(AND(B228="Is another domestic provider required?",C228&lt;&gt;"",C225&lt;&gt;"",ISNUMBER(MATCH(C225,$C$163:C223,0))),"D",IF(AND(B228="Is another domestic provider required?",C228&lt;&gt;"",C225&lt;&gt;"",NOT(ISNUMBER(MATCH(C225,$C$163:C223,0)))),"C",""))))))</f>
        <v/>
      </c>
      <c r="F225" s="124" t="s">
        <v>612</v>
      </c>
      <c r="G225" s="124" t="s">
        <v>490</v>
      </c>
    </row>
    <row r="226" spans="1:7" ht="25.5" thickTop="1" thickBot="1" x14ac:dyDescent="0.5">
      <c r="A226" s="229"/>
      <c r="B226" s="183" t="str">
        <f>IF(B219="","",IF(B224="Choose provider from the list","Total value of expenditure",IF(AND(B219="Proceed below to confirm details and complete Entry Form",C223="I do not confirm"),"Please revise entries or contact OLSC for assistance",IF(AND(B219="Proceed below to confirm details and complete Entry Form",C223="I confirm"),"Entry Form complete - proceed to Summary sheet",""))))</f>
        <v/>
      </c>
      <c r="C226" s="114"/>
      <c r="D226" s="123" t="str">
        <f>IF(B224&lt;&gt;"Choose provider from the list","",IF(OR(AND(B228&lt;&gt;"Is another domestic provider required?",C224&lt;&gt;"",C224&lt;&gt;"PROVIDER NOT LISTED"),AND(B228&lt;&gt;"Is another domestic provider required?",C224="PROVIDER NOT LISTED",C225&lt;&gt;"")),"E",IF(AND(B228&lt;&gt;"Is another domestic provider required?",C221&lt;&gt;""),"",IF(AND(C228&lt;&gt;"Yes",C228&lt;&gt;"No"),"",IF(NOT(ISNUMBER(C226)),"D",IF(AND(INT(C226)=C226,C226&lt;&gt;"",C226&gt;0),"C","D"))))))</f>
        <v/>
      </c>
      <c r="F226" s="124" t="s">
        <v>612</v>
      </c>
      <c r="G226" s="124" t="s">
        <v>490</v>
      </c>
    </row>
    <row r="227" spans="1:7" ht="25.5" thickTop="1" thickBot="1" x14ac:dyDescent="0.5">
      <c r="A227" s="229"/>
      <c r="B227" s="154"/>
      <c r="C227" s="179"/>
      <c r="F227" s="124" t="s">
        <v>490</v>
      </c>
      <c r="G227" s="124" t="s">
        <v>490</v>
      </c>
    </row>
    <row r="228" spans="1:7" ht="25.5" thickTop="1" thickBot="1" x14ac:dyDescent="0.5">
      <c r="A228" s="229"/>
      <c r="B228" s="236" t="str">
        <f>IF(B224="","",IF(B224="Proceed below to confirm details and complete Entry Form","Please confirm that the details entered into the Entry Form are correct",IF(OR(AND(B224="Choose provider from the list",C224&lt;&gt;"",C224&lt;&gt;"PROVIDER NOT LISTED",C226&lt;&gt;""),AND(B224="Choose provider from the list",C224="PROVIDER NOT LISTED",C225&lt;&gt;"",C226&lt;&gt;"")),"Is another domestic provider required?","")))</f>
        <v/>
      </c>
      <c r="C228" s="113"/>
      <c r="D228" s="123" t="str">
        <f>IF(OR(B229="Please select 'Yes' or 'No' from the drop down list",B229="Please select 'I confirm' or 'I do not confirm' from the drop down list"),"E","")</f>
        <v/>
      </c>
      <c r="E228" s="123" t="str">
        <f>IF(B228="Is another domestic provider required?","E",IF(B228="Please confirm that the details entered into the Entry Form are correct","B",""))</f>
        <v/>
      </c>
      <c r="F228" s="124" t="s">
        <v>612</v>
      </c>
      <c r="G228" s="124" t="s">
        <v>607</v>
      </c>
    </row>
    <row r="229" spans="1:7" ht="25.5" thickTop="1" thickBot="1" x14ac:dyDescent="0.5">
      <c r="A229" s="234" t="str">
        <f>IF(AND(B229="Choose provider from the list",C228="Yes"),"Domestic Provider "&amp;(ROW()-ROW(A$154))/5,"")</f>
        <v/>
      </c>
      <c r="B229" s="183" t="str">
        <f>IF($B$158&lt;&gt;"Proceed below","",IF(ISNUMBER(MATCH("Proceed below to confirm details and complete Entry Form",$B$163:B223,0)),"",IF(AND(B224&lt;&gt;"Choose provider from the list",B224&lt;&gt;"Proceed below to confirm details and complete Entry Form"),"",IF(AND(B228="Please confirm that the details entered into the Entry Form are correct",C228&lt;&gt;"I confirm",C228&lt;&gt;"I do not confirm"),"Please select 'I confirm' or 'I do not confirm' from the drop down list",IF(AND(B228="Please confirm that the details entered into the Entry Form are correct",OR(C228="I confirm",C228="I do not confirm")),"",IF(AND(B228="Is another domestic provider required?",C228&lt;&gt;"Yes",C228&lt;&gt;"No"),"Please select 'Yes' or 'No' from the drop down list",IF(AND(B228="Is another domestic provider required?",OR(C228="Yes",C228="No"),C224=""),"WAIT: you must select a provider from the list",IF(AND(B228="Is another domestic provider required?",OR(C228="Yes",C228="No"),C224="PROVIDER NOT LISTED",C225=""),"WAIT: You must enter a provider name",IF(AND(B228="Is another domestic provider required?",OR(C228="Yes",C228="No"),NOT(ISNUMBER(MATCH(C224,H,0)))),"WAIT: You must select a provider from the list or select 'PROVIDER NOT LISTED'",IF(AND(B228="Is another domestic provider required?",OR(C228="Yes",C228="No"),C226=""),"WAIT: you must enter an expenditure value",IF(AND(B228="Is another domestic provider required?",OR(C228="Yes",C228="No"),NOT(ISNUMBER(C226))),"WAIT: you must enter numbers only",IF(AND(B228="Is another domestic provider required?",OR(C228="Yes",C228="No"),INT(C226)&lt;&gt;C226),"WAIT: you must enter a whole dollar amount",IF(AND(B228="Is another domestic provider required?",OR(C228="Yes",C228="No"),C226=0),"WAIT: expenditure value cannot be 0",IF(AND(B228="Is another domestic provider required?",OR(C228="Yes",C228="No"),C226&lt;0),"WAIT: expenditure value cannot be negative",IF(OR(AND(B228="Is another domestic provider required?",OR(C228="Yes",C228="No"),B225="",ISNUMBER(MATCH(C224,$C$163:C223,0))),AND(B228="Is another domestic provider required?",OR(C228="Yes",C228="No"),B225="Type provider name manually",ISNUMBER(MATCH(C225,$C$163:C223,0)))),"WAIT: cannot enter same provider twice",IF(AND($B$158="Proceed below",B228="Is another domestic provider required?",C228="Yes"),"Choose provider from the list",IF(AND(B228="Is another domestic provider required?",C228="No"),"Proceed below to confirm details and complete Entry Form","")))))))))))))))))</f>
        <v/>
      </c>
      <c r="C229" s="240"/>
      <c r="D229" s="123" t="str">
        <f>IF(B229&lt;&gt;"Choose provider from the list","",IF(AND(B233&lt;&gt;"Is another domestic provider required?",C229=""),"E",IF(AND(B233&lt;&gt;"Is another domestic provider required?",C229&lt;&gt;""),"",IF(AND(OR(C233="Yes",C233="No"),NOT(ISNUMBER(MATCH(C229,H,0)))),"D",IF(AND(OR(C233="Yes",C233="No"),B230="",ISNUMBER(MATCH(C229,$C$163:C228,0))),"D",IF(AND(OR(C233="Yes",C233="No"),C229&lt;&gt;""),"C",IF(AND(OR(C233="Yes",C233="No"),C229=""),"D","")))))))</f>
        <v/>
      </c>
      <c r="E229" s="123" t="str">
        <f>IF(B229="Choose provider from the list","H","")</f>
        <v/>
      </c>
      <c r="F229" s="124" t="s">
        <v>612</v>
      </c>
      <c r="G229" s="124" t="s">
        <v>610</v>
      </c>
    </row>
    <row r="230" spans="1:7" ht="25.5" thickTop="1" thickBot="1" x14ac:dyDescent="0.5">
      <c r="A230" s="229"/>
      <c r="B230" s="183" t="str">
        <f>IF(B229&lt;&gt;"Choose provider from the list","",IF(C229&lt;&gt;"PROVIDER NOT LISTED","","Type provider name manually"))</f>
        <v/>
      </c>
      <c r="C230" s="240"/>
      <c r="D230" s="123" t="str">
        <f>IF(B229&lt;&gt;"Choose provider from the list","",IF(B230&lt;&gt;"Type provider name manually","",IF(AND(B230="Type provider name manually",C230=""),"E",IF(AND(B230="Type provider name manually",C230&lt;&gt;"",C233=""),"",IF(AND(B233="Is another domestic provider required?",C233&lt;&gt;"",C230&lt;&gt;"",ISNUMBER(MATCH(C230,$C$163:C228,0))),"D",IF(AND(B233="Is another domestic provider required?",C233&lt;&gt;"",C230&lt;&gt;"",NOT(ISNUMBER(MATCH(C230,$C$163:C228,0)))),"C",""))))))</f>
        <v/>
      </c>
      <c r="F230" s="124" t="s">
        <v>612</v>
      </c>
      <c r="G230" s="124" t="s">
        <v>490</v>
      </c>
    </row>
    <row r="231" spans="1:7" ht="25.5" thickTop="1" thickBot="1" x14ac:dyDescent="0.5">
      <c r="A231" s="229"/>
      <c r="B231" s="183" t="str">
        <f>IF(B224="","",IF(B229="Choose provider from the list","Total value of expenditure",IF(AND(B224="Proceed below to confirm details and complete Entry Form",C228="I do not confirm"),"Please revise entries or contact OLSC for assistance",IF(AND(B224="Proceed below to confirm details and complete Entry Form",C228="I confirm"),"Entry Form complete - proceed to Summary sheet",""))))</f>
        <v/>
      </c>
      <c r="C231" s="114"/>
      <c r="D231" s="123" t="str">
        <f>IF(B229&lt;&gt;"Choose provider from the list","",IF(OR(AND(B233&lt;&gt;"Is another domestic provider required?",C229&lt;&gt;"",C229&lt;&gt;"PROVIDER NOT LISTED"),AND(B233&lt;&gt;"Is another domestic provider required?",C229="PROVIDER NOT LISTED",C230&lt;&gt;"")),"E",IF(AND(B233&lt;&gt;"Is another domestic provider required?",C226&lt;&gt;""),"",IF(AND(C233&lt;&gt;"Yes",C233&lt;&gt;"No"),"",IF(NOT(ISNUMBER(C231)),"D",IF(AND(INT(C231)=C231,C231&lt;&gt;"",C231&gt;0),"C","D"))))))</f>
        <v/>
      </c>
      <c r="F231" s="124" t="s">
        <v>612</v>
      </c>
      <c r="G231" s="124" t="s">
        <v>490</v>
      </c>
    </row>
    <row r="232" spans="1:7" ht="25.5" thickTop="1" thickBot="1" x14ac:dyDescent="0.5">
      <c r="A232" s="229"/>
      <c r="B232" s="154"/>
      <c r="C232" s="179"/>
      <c r="F232" s="124" t="s">
        <v>490</v>
      </c>
      <c r="G232" s="124" t="s">
        <v>490</v>
      </c>
    </row>
    <row r="233" spans="1:7" ht="25.5" thickTop="1" thickBot="1" x14ac:dyDescent="0.5">
      <c r="A233" s="229"/>
      <c r="B233" s="236" t="str">
        <f>IF(B229="","",IF(B229="Proceed below to confirm details and complete Entry Form","Please confirm that the details entered into the Entry Form are correct",IF(OR(AND(B229="Choose provider from the list",C229&lt;&gt;"",C229&lt;&gt;"PROVIDER NOT LISTED",C231&lt;&gt;""),AND(B229="Choose provider from the list",C229="PROVIDER NOT LISTED",C230&lt;&gt;"",C231&lt;&gt;"")),"Is another domestic provider required?","")))</f>
        <v/>
      </c>
      <c r="C233" s="113"/>
      <c r="D233" s="123" t="str">
        <f>IF(OR(B234="Please select 'Yes' or 'No' from the drop down list",B234="Please select 'I confirm' or 'I do not confirm' from the drop down list"),"E","")</f>
        <v/>
      </c>
      <c r="E233" s="123" t="str">
        <f>IF(B233="Is another domestic provider required?","E",IF(B233="Please confirm that the details entered into the Entry Form are correct","B",""))</f>
        <v/>
      </c>
      <c r="F233" s="124" t="s">
        <v>612</v>
      </c>
      <c r="G233" s="124" t="s">
        <v>607</v>
      </c>
    </row>
    <row r="234" spans="1:7" ht="25.5" thickTop="1" thickBot="1" x14ac:dyDescent="0.5">
      <c r="A234" s="234" t="str">
        <f>IF(AND(B234="Choose provider from the list",C233="Yes"),"Domestic Provider "&amp;(ROW()-ROW(A$154))/5,"")</f>
        <v/>
      </c>
      <c r="B234" s="183" t="str">
        <f>IF($B$158&lt;&gt;"Proceed below","",IF(ISNUMBER(MATCH("Proceed below to confirm details and complete Entry Form",$B$163:B228,0)),"",IF(AND(B229&lt;&gt;"Choose provider from the list",B229&lt;&gt;"Proceed below to confirm details and complete Entry Form"),"",IF(AND(B233="Please confirm that the details entered into the Entry Form are correct",C233&lt;&gt;"I confirm",C233&lt;&gt;"I do not confirm"),"Please select 'I confirm' or 'I do not confirm' from the drop down list",IF(AND(B233="Please confirm that the details entered into the Entry Form are correct",OR(C233="I confirm",C233="I do not confirm")),"",IF(AND(B233="Is another domestic provider required?",C233&lt;&gt;"Yes",C233&lt;&gt;"No"),"Please select 'Yes' or 'No' from the drop down list",IF(AND(B233="Is another domestic provider required?",OR(C233="Yes",C233="No"),C229=""),"WAIT: you must select a provider from the list",IF(AND(B233="Is another domestic provider required?",OR(C233="Yes",C233="No"),C229="PROVIDER NOT LISTED",C230=""),"WAIT: You must enter a provider name",IF(AND(B233="Is another domestic provider required?",OR(C233="Yes",C233="No"),NOT(ISNUMBER(MATCH(C229,H,0)))),"WAIT: You must select a provider from the list or select 'PROVIDER NOT LISTED'",IF(AND(B233="Is another domestic provider required?",OR(C233="Yes",C233="No"),C231=""),"WAIT: you must enter an expenditure value",IF(AND(B233="Is another domestic provider required?",OR(C233="Yes",C233="No"),NOT(ISNUMBER(C231))),"WAIT: you must enter numbers only",IF(AND(B233="Is another domestic provider required?",OR(C233="Yes",C233="No"),INT(C231)&lt;&gt;C231),"WAIT: you must enter a whole dollar amount",IF(AND(B233="Is another domestic provider required?",OR(C233="Yes",C233="No"),C231=0),"WAIT: expenditure value cannot be 0",IF(AND(B233="Is another domestic provider required?",OR(C233="Yes",C233="No"),C231&lt;0),"WAIT: expenditure value cannot be negative",IF(OR(AND(B233="Is another domestic provider required?",OR(C233="Yes",C233="No"),B230="",ISNUMBER(MATCH(C229,$C$163:C228,0))),AND(B233="Is another domestic provider required?",OR(C233="Yes",C233="No"),B230="Type provider name manually",ISNUMBER(MATCH(C230,$C$163:C228,0)))),"WAIT: cannot enter same provider twice",IF(AND($B$158="Proceed below",B233="Is another domestic provider required?",C233="Yes"),"Choose provider from the list",IF(AND(B233="Is another domestic provider required?",C233="No"),"Proceed below to confirm details and complete Entry Form","")))))))))))))))))</f>
        <v/>
      </c>
      <c r="C234" s="240"/>
      <c r="D234" s="123" t="str">
        <f>IF(B234&lt;&gt;"Choose provider from the list","",IF(AND(B238&lt;&gt;"Is another domestic provider required?",C234=""),"E",IF(AND(B238&lt;&gt;"Is another domestic provider required?",C234&lt;&gt;""),"",IF(AND(OR(C238="Yes",C238="No"),NOT(ISNUMBER(MATCH(C234,H,0)))),"D",IF(AND(OR(C238="Yes",C238="No"),B235="",ISNUMBER(MATCH(C234,$C$163:C233,0))),"D",IF(AND(OR(C238="Yes",C238="No"),C234&lt;&gt;""),"C",IF(AND(OR(C238="Yes",C238="No"),C234=""),"D","")))))))</f>
        <v/>
      </c>
      <c r="E234" s="123" t="str">
        <f>IF(B234="Choose provider from the list","H","")</f>
        <v/>
      </c>
      <c r="F234" s="124" t="s">
        <v>612</v>
      </c>
      <c r="G234" s="124" t="s">
        <v>610</v>
      </c>
    </row>
    <row r="235" spans="1:7" ht="25.5" thickTop="1" thickBot="1" x14ac:dyDescent="0.5">
      <c r="A235" s="229"/>
      <c r="B235" s="183" t="str">
        <f>IF(B234&lt;&gt;"Choose provider from the list","",IF(C234&lt;&gt;"PROVIDER NOT LISTED","","Type provider name manually"))</f>
        <v/>
      </c>
      <c r="C235" s="240"/>
      <c r="D235" s="123" t="str">
        <f>IF(B234&lt;&gt;"Choose provider from the list","",IF(B235&lt;&gt;"Type provider name manually","",IF(AND(B235="Type provider name manually",C235=""),"E",IF(AND(B235="Type provider name manually",C235&lt;&gt;"",C238=""),"",IF(AND(B238="Is another domestic provider required?",C238&lt;&gt;"",C235&lt;&gt;"",ISNUMBER(MATCH(C235,$C$163:C233,0))),"D",IF(AND(B238="Is another domestic provider required?",C238&lt;&gt;"",C235&lt;&gt;"",NOT(ISNUMBER(MATCH(C235,$C$163:C233,0)))),"C",""))))))</f>
        <v/>
      </c>
      <c r="F235" s="124" t="s">
        <v>612</v>
      </c>
      <c r="G235" s="124" t="s">
        <v>490</v>
      </c>
    </row>
    <row r="236" spans="1:7" ht="25.5" thickTop="1" thickBot="1" x14ac:dyDescent="0.5">
      <c r="A236" s="229"/>
      <c r="B236" s="183" t="str">
        <f>IF(B229="","",IF(B234="Choose provider from the list","Total value of expenditure",IF(AND(B229="Proceed below to confirm details and complete Entry Form",C233="I do not confirm"),"Please revise entries or contact OLSC for assistance",IF(AND(B229="Proceed below to confirm details and complete Entry Form",C233="I confirm"),"Entry Form complete - proceed to Summary sheet",""))))</f>
        <v/>
      </c>
      <c r="C236" s="114"/>
      <c r="D236" s="123" t="str">
        <f>IF(B234&lt;&gt;"Choose provider from the list","",IF(OR(AND(B238&lt;&gt;"Is another domestic provider required?",C234&lt;&gt;"",C234&lt;&gt;"PROVIDER NOT LISTED"),AND(B238&lt;&gt;"Is another domestic provider required?",C234="PROVIDER NOT LISTED",C235&lt;&gt;"")),"E",IF(AND(B238&lt;&gt;"Is another domestic provider required?",C231&lt;&gt;""),"",IF(AND(C238&lt;&gt;"Yes",C238&lt;&gt;"No"),"",IF(NOT(ISNUMBER(C236)),"D",IF(AND(INT(C236)=C236,C236&lt;&gt;"",C236&gt;0),"C","D"))))))</f>
        <v/>
      </c>
      <c r="F236" s="124" t="s">
        <v>612</v>
      </c>
      <c r="G236" s="124" t="s">
        <v>490</v>
      </c>
    </row>
    <row r="237" spans="1:7" ht="25.5" thickTop="1" thickBot="1" x14ac:dyDescent="0.5">
      <c r="A237" s="229"/>
      <c r="B237" s="154"/>
      <c r="C237" s="179"/>
      <c r="F237" s="124" t="s">
        <v>490</v>
      </c>
      <c r="G237" s="124" t="s">
        <v>490</v>
      </c>
    </row>
    <row r="238" spans="1:7" ht="25.5" thickTop="1" thickBot="1" x14ac:dyDescent="0.5">
      <c r="A238" s="229"/>
      <c r="B238" s="236" t="str">
        <f>IF(B234="","",IF(B234="Proceed below to confirm details and complete Entry Form","Please confirm that the details entered into the Entry Form are correct",IF(OR(AND(B234="Choose provider from the list",C234&lt;&gt;"",C234&lt;&gt;"PROVIDER NOT LISTED",C236&lt;&gt;""),AND(B234="Choose provider from the list",C234="PROVIDER NOT LISTED",C235&lt;&gt;"",C236&lt;&gt;"")),"Is another domestic provider required?","")))</f>
        <v/>
      </c>
      <c r="C238" s="113"/>
      <c r="D238" s="123" t="str">
        <f>IF(OR(B239="Please select 'Yes' or 'No' from the drop down list",B239="Please select 'I confirm' or 'I do not confirm' from the drop down list"),"E","")</f>
        <v/>
      </c>
      <c r="E238" s="123" t="str">
        <f>IF(B238="Is another domestic provider required?","E",IF(B238="Please confirm that the details entered into the Entry Form are correct","B",""))</f>
        <v/>
      </c>
      <c r="F238" s="124" t="s">
        <v>612</v>
      </c>
      <c r="G238" s="124" t="s">
        <v>607</v>
      </c>
    </row>
    <row r="239" spans="1:7" ht="25.5" thickTop="1" thickBot="1" x14ac:dyDescent="0.5">
      <c r="A239" s="234" t="str">
        <f>IF(AND(B239="Choose provider from the list",C238="Yes"),"Domestic Provider "&amp;(ROW()-ROW(A$154))/5,"")</f>
        <v/>
      </c>
      <c r="B239" s="183" t="str">
        <f>IF($B$158&lt;&gt;"Proceed below","",IF(ISNUMBER(MATCH("Proceed below to confirm details and complete Entry Form",$B$163:B233,0)),"",IF(AND(B234&lt;&gt;"Choose provider from the list",B234&lt;&gt;"Proceed below to confirm details and complete Entry Form"),"",IF(AND(B238="Please confirm that the details entered into the Entry Form are correct",C238&lt;&gt;"I confirm",C238&lt;&gt;"I do not confirm"),"Please select 'I confirm' or 'I do not confirm' from the drop down list",IF(AND(B238="Please confirm that the details entered into the Entry Form are correct",OR(C238="I confirm",C238="I do not confirm")),"",IF(AND(B238="Is another domestic provider required?",C238&lt;&gt;"Yes",C238&lt;&gt;"No"),"Please select 'Yes' or 'No' from the drop down list",IF(AND(B238="Is another domestic provider required?",OR(C238="Yes",C238="No"),C234=""),"WAIT: you must select a provider from the list",IF(AND(B238="Is another domestic provider required?",OR(C238="Yes",C238="No"),C234="PROVIDER NOT LISTED",C235=""),"WAIT: You must enter a provider name",IF(AND(B238="Is another domestic provider required?",OR(C238="Yes",C238="No"),NOT(ISNUMBER(MATCH(C234,H,0)))),"WAIT: You must select a provider from the list or select 'PROVIDER NOT LISTED'",IF(AND(B238="Is another domestic provider required?",OR(C238="Yes",C238="No"),C236=""),"WAIT: you must enter an expenditure value",IF(AND(B238="Is another domestic provider required?",OR(C238="Yes",C238="No"),NOT(ISNUMBER(C236))),"WAIT: you must enter numbers only",IF(AND(B238="Is another domestic provider required?",OR(C238="Yes",C238="No"),INT(C236)&lt;&gt;C236),"WAIT: you must enter a whole dollar amount",IF(AND(B238="Is another domestic provider required?",OR(C238="Yes",C238="No"),C236=0),"WAIT: expenditure value cannot be 0",IF(AND(B238="Is another domestic provider required?",OR(C238="Yes",C238="No"),C236&lt;0),"WAIT: expenditure value cannot be negative",IF(OR(AND(B238="Is another domestic provider required?",OR(C238="Yes",C238="No"),B235="",ISNUMBER(MATCH(C234,$C$163:C233,0))),AND(B238="Is another domestic provider required?",OR(C238="Yes",C238="No"),B235="Type provider name manually",ISNUMBER(MATCH(C235,$C$163:C233,0)))),"WAIT: cannot enter same provider twice",IF(AND($B$158="Proceed below",B238="Is another domestic provider required?",C238="Yes"),"Choose provider from the list",IF(AND(B238="Is another domestic provider required?",C238="No"),"Proceed below to confirm details and complete Entry Form","")))))))))))))))))</f>
        <v/>
      </c>
      <c r="C239" s="240"/>
      <c r="D239" s="123" t="str">
        <f>IF(B239&lt;&gt;"Choose provider from the list","",IF(AND(B243&lt;&gt;"Is another domestic provider required?",C239=""),"E",IF(AND(B243&lt;&gt;"Is another domestic provider required?",C239&lt;&gt;""),"",IF(AND(OR(C243="Yes",C243="No"),NOT(ISNUMBER(MATCH(C239,H,0)))),"D",IF(AND(OR(C243="Yes",C243="No"),B240="",ISNUMBER(MATCH(C239,$C$163:C238,0))),"D",IF(AND(OR(C243="Yes",C243="No"),C239&lt;&gt;""),"C",IF(AND(OR(C243="Yes",C243="No"),C239=""),"D","")))))))</f>
        <v/>
      </c>
      <c r="E239" s="123" t="str">
        <f>IF(B239="Choose provider from the list","H","")</f>
        <v/>
      </c>
      <c r="F239" s="124" t="s">
        <v>612</v>
      </c>
      <c r="G239" s="124" t="s">
        <v>610</v>
      </c>
    </row>
    <row r="240" spans="1:7" ht="25.5" thickTop="1" thickBot="1" x14ac:dyDescent="0.5">
      <c r="A240" s="229"/>
      <c r="B240" s="183" t="str">
        <f>IF(B239&lt;&gt;"Choose provider from the list","",IF(C239&lt;&gt;"PROVIDER NOT LISTED","","Type provider name manually"))</f>
        <v/>
      </c>
      <c r="C240" s="240"/>
      <c r="D240" s="123" t="str">
        <f>IF(B239&lt;&gt;"Choose provider from the list","",IF(B240&lt;&gt;"Type provider name manually","",IF(AND(B240="Type provider name manually",C240=""),"E",IF(AND(B240="Type provider name manually",C240&lt;&gt;"",C243=""),"",IF(AND(B243="Is another domestic provider required?",C243&lt;&gt;"",C240&lt;&gt;"",ISNUMBER(MATCH(C240,$C$163:C238,0))),"D",IF(AND(B243="Is another domestic provider required?",C243&lt;&gt;"",C240&lt;&gt;"",NOT(ISNUMBER(MATCH(C240,$C$163:C238,0)))),"C",""))))))</f>
        <v/>
      </c>
      <c r="F240" s="124" t="s">
        <v>612</v>
      </c>
      <c r="G240" s="124" t="s">
        <v>490</v>
      </c>
    </row>
    <row r="241" spans="1:7" ht="25.5" thickTop="1" thickBot="1" x14ac:dyDescent="0.5">
      <c r="A241" s="229"/>
      <c r="B241" s="183" t="str">
        <f>IF(B234="","",IF(B239="Choose provider from the list","Total value of expenditure",IF(AND(B234="Proceed below to confirm details and complete Entry Form",C238="I do not confirm"),"Please revise entries or contact OLSC for assistance",IF(AND(B234="Proceed below to confirm details and complete Entry Form",C238="I confirm"),"Entry Form complete - proceed to Summary sheet",""))))</f>
        <v/>
      </c>
      <c r="C241" s="114"/>
      <c r="D241" s="123" t="str">
        <f>IF(B239&lt;&gt;"Choose provider from the list","",IF(OR(AND(B243&lt;&gt;"Is another domestic provider required?",C239&lt;&gt;"",C239&lt;&gt;"PROVIDER NOT LISTED"),AND(B243&lt;&gt;"Is another domestic provider required?",C239="PROVIDER NOT LISTED",C240&lt;&gt;"")),"E",IF(AND(B243&lt;&gt;"Is another domestic provider required?",C236&lt;&gt;""),"",IF(AND(C243&lt;&gt;"Yes",C243&lt;&gt;"No"),"",IF(NOT(ISNUMBER(C241)),"D",IF(AND(INT(C241)=C241,C241&lt;&gt;"",C241&gt;0),"C","D"))))))</f>
        <v/>
      </c>
      <c r="F241" s="124" t="s">
        <v>612</v>
      </c>
      <c r="G241" s="124" t="s">
        <v>490</v>
      </c>
    </row>
    <row r="242" spans="1:7" ht="25.5" thickTop="1" thickBot="1" x14ac:dyDescent="0.5">
      <c r="A242" s="229"/>
      <c r="B242" s="154"/>
      <c r="C242" s="179"/>
      <c r="F242" s="124" t="s">
        <v>490</v>
      </c>
      <c r="G242" s="124" t="s">
        <v>490</v>
      </c>
    </row>
    <row r="243" spans="1:7" ht="25.5" thickTop="1" thickBot="1" x14ac:dyDescent="0.5">
      <c r="A243" s="229"/>
      <c r="B243" s="236" t="str">
        <f>IF(B239="","",IF(B239="Proceed below to confirm details and complete Entry Form","Please confirm that the details entered into the Entry Form are correct",IF(OR(AND(B239="Choose provider from the list",C239&lt;&gt;"",C239&lt;&gt;"PROVIDER NOT LISTED",C241&lt;&gt;""),AND(B239="Choose provider from the list",C239="PROVIDER NOT LISTED",C240&lt;&gt;"",C241&lt;&gt;"")),"Is another domestic provider required?","")))</f>
        <v/>
      </c>
      <c r="C243" s="113"/>
      <c r="D243" s="123" t="str">
        <f>IF(OR(B244="Please select 'Yes' or 'No' from the drop down list",B244="Please select 'I confirm' or 'I do not confirm' from the drop down list"),"E","")</f>
        <v/>
      </c>
      <c r="E243" s="123" t="str">
        <f>IF(B243="Is another domestic provider required?","E",IF(B243="Please confirm that the details entered into the Entry Form are correct","B",""))</f>
        <v/>
      </c>
      <c r="F243" s="124" t="s">
        <v>612</v>
      </c>
      <c r="G243" s="124" t="s">
        <v>607</v>
      </c>
    </row>
    <row r="244" spans="1:7" ht="25.5" thickTop="1" thickBot="1" x14ac:dyDescent="0.5">
      <c r="A244" s="234" t="str">
        <f>IF(AND(B244="Choose provider from the list",C243="Yes"),"Domestic Provider "&amp;(ROW()-ROW(A$154))/5,"")</f>
        <v/>
      </c>
      <c r="B244" s="183" t="str">
        <f>IF($B$158&lt;&gt;"Proceed below","",IF(ISNUMBER(MATCH("Proceed below to confirm details and complete Entry Form",$B$163:B238,0)),"",IF(AND(B239&lt;&gt;"Choose provider from the list",B239&lt;&gt;"Proceed below to confirm details and complete Entry Form"),"",IF(AND(B243="Please confirm that the details entered into the Entry Form are correct",C243&lt;&gt;"I confirm",C243&lt;&gt;"I do not confirm"),"Please select 'I confirm' or 'I do not confirm' from the drop down list",IF(AND(B243="Please confirm that the details entered into the Entry Form are correct",OR(C243="I confirm",C243="I do not confirm")),"",IF(AND(B243="Is another domestic provider required?",C243&lt;&gt;"Yes",C243&lt;&gt;"No"),"Please select 'Yes' or 'No' from the drop down list",IF(AND(B243="Is another domestic provider required?",OR(C243="Yes",C243="No"),C239=""),"WAIT: you must select a provider from the list",IF(AND(B243="Is another domestic provider required?",OR(C243="Yes",C243="No"),C239="PROVIDER NOT LISTED",C240=""),"WAIT: You must enter a provider name",IF(AND(B243="Is another domestic provider required?",OR(C243="Yes",C243="No"),NOT(ISNUMBER(MATCH(C239,H,0)))),"WAIT: You must select a provider from the list or select 'PROVIDER NOT LISTED'",IF(AND(B243="Is another domestic provider required?",OR(C243="Yes",C243="No"),C241=""),"WAIT: you must enter an expenditure value",IF(AND(B243="Is another domestic provider required?",OR(C243="Yes",C243="No"),NOT(ISNUMBER(C241))),"WAIT: you must enter numbers only",IF(AND(B243="Is another domestic provider required?",OR(C243="Yes",C243="No"),INT(C241)&lt;&gt;C241),"WAIT: you must enter a whole dollar amount",IF(AND(B243="Is another domestic provider required?",OR(C243="Yes",C243="No"),C241=0),"WAIT: expenditure value cannot be 0",IF(AND(B243="Is another domestic provider required?",OR(C243="Yes",C243="No"),C241&lt;0),"WAIT: expenditure value cannot be negative",IF(OR(AND(B243="Is another domestic provider required?",OR(C243="Yes",C243="No"),B240="",ISNUMBER(MATCH(C239,$C$163:C238,0))),AND(B243="Is another domestic provider required?",OR(C243="Yes",C243="No"),B240="Type provider name manually",ISNUMBER(MATCH(C240,$C$163:C238,0)))),"WAIT: cannot enter same provider twice",IF(AND($B$158="Proceed below",B243="Is another domestic provider required?",C243="Yes"),"Choose provider from the list",IF(AND(B243="Is another domestic provider required?",C243="No"),"Proceed below to confirm details and complete Entry Form","")))))))))))))))))</f>
        <v/>
      </c>
      <c r="C244" s="240"/>
      <c r="D244" s="123" t="str">
        <f>IF(B244&lt;&gt;"Choose provider from the list","",IF(AND(B248&lt;&gt;"Is another domestic provider required?",C244=""),"E",IF(AND(B248&lt;&gt;"Is another domestic provider required?",C244&lt;&gt;""),"",IF(AND(OR(C248="Yes",C248="No"),NOT(ISNUMBER(MATCH(C244,H,0)))),"D",IF(AND(OR(C248="Yes",C248="No"),B245="",ISNUMBER(MATCH(C244,$C$163:C243,0))),"D",IF(AND(OR(C248="Yes",C248="No"),C244&lt;&gt;""),"C",IF(AND(OR(C248="Yes",C248="No"),C244=""),"D","")))))))</f>
        <v/>
      </c>
      <c r="E244" s="123" t="str">
        <f>IF(B244="Choose provider from the list","H","")</f>
        <v/>
      </c>
      <c r="F244" s="124" t="s">
        <v>612</v>
      </c>
      <c r="G244" s="124" t="s">
        <v>610</v>
      </c>
    </row>
    <row r="245" spans="1:7" ht="25.5" thickTop="1" thickBot="1" x14ac:dyDescent="0.5">
      <c r="A245" s="229"/>
      <c r="B245" s="183" t="str">
        <f>IF(B244&lt;&gt;"Choose provider from the list","",IF(C244&lt;&gt;"PROVIDER NOT LISTED","","Type provider name manually"))</f>
        <v/>
      </c>
      <c r="C245" s="240"/>
      <c r="D245" s="123" t="str">
        <f>IF(B244&lt;&gt;"Choose provider from the list","",IF(B245&lt;&gt;"Type provider name manually","",IF(AND(B245="Type provider name manually",C245=""),"E",IF(AND(B245="Type provider name manually",C245&lt;&gt;"",C248=""),"",IF(AND(B248="Is another domestic provider required?",C248&lt;&gt;"",C245&lt;&gt;"",ISNUMBER(MATCH(C245,$C$163:C243,0))),"D",IF(AND(B248="Is another domestic provider required?",C248&lt;&gt;"",C245&lt;&gt;"",NOT(ISNUMBER(MATCH(C245,$C$163:C243,0)))),"C",""))))))</f>
        <v/>
      </c>
      <c r="F245" s="124" t="s">
        <v>612</v>
      </c>
      <c r="G245" s="124" t="s">
        <v>490</v>
      </c>
    </row>
    <row r="246" spans="1:7" ht="25.5" thickTop="1" thickBot="1" x14ac:dyDescent="0.5">
      <c r="A246" s="229"/>
      <c r="B246" s="183" t="str">
        <f>IF(B239="","",IF(B244="Choose provider from the list","Total value of expenditure",IF(AND(B239="Proceed below to confirm details and complete Entry Form",C243="I do not confirm"),"Please revise entries or contact OLSC for assistance",IF(AND(B239="Proceed below to confirm details and complete Entry Form",C243="I confirm"),"Entry Form complete - proceed to Summary sheet",""))))</f>
        <v/>
      </c>
      <c r="C246" s="114"/>
      <c r="D246" s="123" t="str">
        <f>IF(B244&lt;&gt;"Choose provider from the list","",IF(OR(AND(B248&lt;&gt;"Is another domestic provider required?",C244&lt;&gt;"",C244&lt;&gt;"PROVIDER NOT LISTED"),AND(B248&lt;&gt;"Is another domestic provider required?",C244="PROVIDER NOT LISTED",C245&lt;&gt;"")),"E",IF(AND(B248&lt;&gt;"Is another domestic provider required?",C241&lt;&gt;""),"",IF(AND(C248&lt;&gt;"Yes",C248&lt;&gt;"No"),"",IF(NOT(ISNUMBER(C246)),"D",IF(AND(INT(C246)=C246,C246&lt;&gt;"",C246&gt;0),"C","D"))))))</f>
        <v/>
      </c>
      <c r="F246" s="124" t="s">
        <v>612</v>
      </c>
      <c r="G246" s="124" t="s">
        <v>490</v>
      </c>
    </row>
    <row r="247" spans="1:7" ht="25.5" thickTop="1" thickBot="1" x14ac:dyDescent="0.5">
      <c r="A247" s="229"/>
      <c r="B247" s="154"/>
      <c r="C247" s="179"/>
      <c r="F247" s="124" t="s">
        <v>490</v>
      </c>
      <c r="G247" s="124" t="s">
        <v>490</v>
      </c>
    </row>
    <row r="248" spans="1:7" ht="25.5" thickTop="1" thickBot="1" x14ac:dyDescent="0.5">
      <c r="A248" s="229"/>
      <c r="B248" s="236" t="str">
        <f>IF(B244="","",IF(B244="Proceed below to confirm details and complete Entry Form","Please confirm that the details entered into the Entry Form are correct",IF(OR(AND(B244="Choose provider from the list",C244&lt;&gt;"",C244&lt;&gt;"PROVIDER NOT LISTED",C246&lt;&gt;""),AND(B244="Choose provider from the list",C244="PROVIDER NOT LISTED",C245&lt;&gt;"",C246&lt;&gt;"")),"Is another domestic provider required?","")))</f>
        <v/>
      </c>
      <c r="C248" s="113"/>
      <c r="D248" s="123" t="str">
        <f>IF(OR(B249="Please select 'Yes' or 'No' from the drop down list",B249="Please select 'I confirm' or 'I do not confirm' from the drop down list"),"E","")</f>
        <v/>
      </c>
      <c r="E248" s="123" t="str">
        <f>IF(B248="Is another domestic provider required?","E",IF(B248="Please confirm that the details entered into the Entry Form are correct","B",""))</f>
        <v/>
      </c>
      <c r="F248" s="124" t="s">
        <v>612</v>
      </c>
      <c r="G248" s="124" t="s">
        <v>607</v>
      </c>
    </row>
    <row r="249" spans="1:7" ht="25.5" thickTop="1" thickBot="1" x14ac:dyDescent="0.5">
      <c r="A249" s="234" t="str">
        <f>IF(AND(B249="Choose provider from the list",C248="Yes"),"Domestic Provider "&amp;(ROW()-ROW(A$154))/5,"")</f>
        <v/>
      </c>
      <c r="B249" s="183" t="str">
        <f>IF($B$158&lt;&gt;"Proceed below","",IF(ISNUMBER(MATCH("Proceed below to confirm details and complete Entry Form",$B$163:B243,0)),"",IF(AND(B244&lt;&gt;"Choose provider from the list",B244&lt;&gt;"Proceed below to confirm details and complete Entry Form"),"",IF(AND(B248="Please confirm that the details entered into the Entry Form are correct",C248&lt;&gt;"I confirm",C248&lt;&gt;"I do not confirm"),"Please select 'I confirm' or 'I do not confirm' from the drop down list",IF(AND(B248="Please confirm that the details entered into the Entry Form are correct",OR(C248="I confirm",C248="I do not confirm")),"",IF(AND(B248="Is another domestic provider required?",C248&lt;&gt;"Yes",C248&lt;&gt;"No"),"Please select 'Yes' or 'No' from the drop down list",IF(AND(B248="Is another domestic provider required?",OR(C248="Yes",C248="No"),C244=""),"WAIT: you must select a provider from the list",IF(AND(B248="Is another domestic provider required?",OR(C248="Yes",C248="No"),C244="PROVIDER NOT LISTED",C245=""),"WAIT: You must enter a provider name",IF(AND(B248="Is another domestic provider required?",OR(C248="Yes",C248="No"),NOT(ISNUMBER(MATCH(C244,H,0)))),"WAIT: You must select a provider from the list or select 'PROVIDER NOT LISTED'",IF(AND(B248="Is another domestic provider required?",OR(C248="Yes",C248="No"),C246=""),"WAIT: you must enter an expenditure value",IF(AND(B248="Is another domestic provider required?",OR(C248="Yes",C248="No"),NOT(ISNUMBER(C246))),"WAIT: you must enter numbers only",IF(AND(B248="Is another domestic provider required?",OR(C248="Yes",C248="No"),INT(C246)&lt;&gt;C246),"WAIT: you must enter a whole dollar amount",IF(AND(B248="Is another domestic provider required?",OR(C248="Yes",C248="No"),C246=0),"WAIT: expenditure value cannot be 0",IF(AND(B248="Is another domestic provider required?",OR(C248="Yes",C248="No"),C246&lt;0),"WAIT: expenditure value cannot be negative",IF(OR(AND(B248="Is another domestic provider required?",OR(C248="Yes",C248="No"),B245="",ISNUMBER(MATCH(C244,$C$163:C243,0))),AND(B248="Is another domestic provider required?",OR(C248="Yes",C248="No"),B245="Type provider name manually",ISNUMBER(MATCH(C245,$C$163:C243,0)))),"WAIT: cannot enter same provider twice",IF(AND($B$158="Proceed below",B248="Is another domestic provider required?",C248="Yes"),"Choose provider from the list",IF(AND(B248="Is another domestic provider required?",C248="No"),"Proceed below to confirm details and complete Entry Form","")))))))))))))))))</f>
        <v/>
      </c>
      <c r="C249" s="240"/>
      <c r="D249" s="123" t="str">
        <f>IF(B249&lt;&gt;"Choose provider from the list","",IF(AND(B253&lt;&gt;"Is another domestic provider required?",C249=""),"E",IF(AND(B253&lt;&gt;"Is another domestic provider required?",C249&lt;&gt;""),"",IF(AND(OR(C253="Yes",C253="No"),NOT(ISNUMBER(MATCH(C249,H,0)))),"D",IF(AND(OR(C253="Yes",C253="No"),B250="",ISNUMBER(MATCH(C249,$C$163:C248,0))),"D",IF(AND(OR(C253="Yes",C253="No"),C249&lt;&gt;""),"C",IF(AND(OR(C253="Yes",C253="No"),C249=""),"D","")))))))</f>
        <v/>
      </c>
      <c r="E249" s="123" t="str">
        <f>IF(B249="Choose provider from the list","H","")</f>
        <v/>
      </c>
      <c r="F249" s="124" t="s">
        <v>612</v>
      </c>
      <c r="G249" s="124" t="s">
        <v>610</v>
      </c>
    </row>
    <row r="250" spans="1:7" ht="25.5" thickTop="1" thickBot="1" x14ac:dyDescent="0.5">
      <c r="A250" s="229"/>
      <c r="B250" s="183" t="str">
        <f>IF(B249&lt;&gt;"Choose provider from the list","",IF(C249&lt;&gt;"PROVIDER NOT LISTED","","Type provider name manually"))</f>
        <v/>
      </c>
      <c r="C250" s="240"/>
      <c r="D250" s="123" t="str">
        <f>IF(B249&lt;&gt;"Choose provider from the list","",IF(B250&lt;&gt;"Type provider name manually","",IF(AND(B250="Type provider name manually",C250=""),"E",IF(AND(B250="Type provider name manually",C250&lt;&gt;"",C253=""),"",IF(AND(B253="Is another domestic provider required?",C253&lt;&gt;"",C250&lt;&gt;"",ISNUMBER(MATCH(C250,$C$163:C248,0))),"D",IF(AND(B253="Is another domestic provider required?",C253&lt;&gt;"",C250&lt;&gt;"",NOT(ISNUMBER(MATCH(C250,$C$163:C248,0)))),"C",""))))))</f>
        <v/>
      </c>
      <c r="F250" s="124" t="s">
        <v>612</v>
      </c>
      <c r="G250" s="124" t="s">
        <v>490</v>
      </c>
    </row>
    <row r="251" spans="1:7" ht="25.5" thickTop="1" thickBot="1" x14ac:dyDescent="0.5">
      <c r="A251" s="229"/>
      <c r="B251" s="183" t="str">
        <f>IF(B244="","",IF(B249="Choose provider from the list","Total value of expenditure",IF(AND(B244="Proceed below to confirm details and complete Entry Form",C248="I do not confirm"),"Please revise entries or contact OLSC for assistance",IF(AND(B244="Proceed below to confirm details and complete Entry Form",C248="I confirm"),"Entry Form complete - proceed to Summary sheet",""))))</f>
        <v/>
      </c>
      <c r="C251" s="114"/>
      <c r="D251" s="123" t="str">
        <f>IF(B249&lt;&gt;"Choose provider from the list","",IF(OR(AND(B253&lt;&gt;"Is another domestic provider required?",C249&lt;&gt;"",C249&lt;&gt;"PROVIDER NOT LISTED"),AND(B253&lt;&gt;"Is another domestic provider required?",C249="PROVIDER NOT LISTED",C250&lt;&gt;"")),"E",IF(AND(B253&lt;&gt;"Is another domestic provider required?",C246&lt;&gt;""),"",IF(AND(C253&lt;&gt;"Yes",C253&lt;&gt;"No"),"",IF(NOT(ISNUMBER(C251)),"D",IF(AND(INT(C251)=C251,C251&lt;&gt;"",C251&gt;0),"C","D"))))))</f>
        <v/>
      </c>
      <c r="F251" s="124" t="s">
        <v>612</v>
      </c>
      <c r="G251" s="124" t="s">
        <v>490</v>
      </c>
    </row>
    <row r="252" spans="1:7" ht="25.5" thickTop="1" thickBot="1" x14ac:dyDescent="0.5">
      <c r="A252" s="229"/>
      <c r="B252" s="154"/>
      <c r="C252" s="179"/>
      <c r="F252" s="124" t="s">
        <v>490</v>
      </c>
      <c r="G252" s="124" t="s">
        <v>490</v>
      </c>
    </row>
    <row r="253" spans="1:7" ht="25.5" thickTop="1" thickBot="1" x14ac:dyDescent="0.5">
      <c r="A253" s="229"/>
      <c r="B253" s="236" t="str">
        <f>IF(B249="","",IF(B249="Proceed below to confirm details and complete Entry Form","Please confirm that the details entered into the Entry Form are correct",IF(OR(AND(B249="Choose provider from the list",C249&lt;&gt;"",C249&lt;&gt;"PROVIDER NOT LISTED",C251&lt;&gt;""),AND(B249="Choose provider from the list",C249="PROVIDER NOT LISTED",C250&lt;&gt;"",C251&lt;&gt;"")),"Is another domestic provider required?","")))</f>
        <v/>
      </c>
      <c r="C253" s="113"/>
      <c r="D253" s="123" t="str">
        <f>IF(OR(B254="Please select 'Yes' or 'No' from the drop down list",B254="Please select 'I confirm' or 'I do not confirm' from the drop down list"),"E","")</f>
        <v/>
      </c>
      <c r="E253" s="123" t="str">
        <f>IF(B253="Is another domestic provider required?","E",IF(B253="Please confirm that the details entered into the Entry Form are correct","B",""))</f>
        <v/>
      </c>
      <c r="F253" s="124" t="s">
        <v>612</v>
      </c>
      <c r="G253" s="124" t="s">
        <v>607</v>
      </c>
    </row>
    <row r="254" spans="1:7" ht="25.5" thickTop="1" thickBot="1" x14ac:dyDescent="0.5">
      <c r="A254" s="234" t="str">
        <f>IF(AND(B254="Choose provider from the list",C253="Yes"),"Domestic Provider "&amp;(ROW()-ROW(A$154))/5,"")</f>
        <v/>
      </c>
      <c r="B254" s="183" t="str">
        <f>IF($B$158&lt;&gt;"Proceed below","",IF(ISNUMBER(MATCH("Proceed below to confirm details and complete Entry Form",$B$163:B248,0)),"",IF(AND(B249&lt;&gt;"Choose provider from the list",B249&lt;&gt;"Proceed below to confirm details and complete Entry Form"),"",IF(AND(B253="Please confirm that the details entered into the Entry Form are correct",C253&lt;&gt;"I confirm",C253&lt;&gt;"I do not confirm"),"Please select 'I confirm' or 'I do not confirm' from the drop down list",IF(AND(B253="Please confirm that the details entered into the Entry Form are correct",OR(C253="I confirm",C253="I do not confirm")),"",IF(AND(B253="Is another domestic provider required?",C253&lt;&gt;"Yes",C253&lt;&gt;"No"),"Please select 'Yes' or 'No' from the drop down list",IF(AND(B253="Is another domestic provider required?",OR(C253="Yes",C253="No"),C249=""),"WAIT: you must select a provider from the list",IF(AND(B253="Is another domestic provider required?",OR(C253="Yes",C253="No"),C249="PROVIDER NOT LISTED",C250=""),"WAIT: You must enter a provider name",IF(AND(B253="Is another domestic provider required?",OR(C253="Yes",C253="No"),NOT(ISNUMBER(MATCH(C249,H,0)))),"WAIT: You must select a provider from the list or select 'PROVIDER NOT LISTED'",IF(AND(B253="Is another domestic provider required?",OR(C253="Yes",C253="No"),C251=""),"WAIT: you must enter an expenditure value",IF(AND(B253="Is another domestic provider required?",OR(C253="Yes",C253="No"),NOT(ISNUMBER(C251))),"WAIT: you must enter numbers only",IF(AND(B253="Is another domestic provider required?",OR(C253="Yes",C253="No"),INT(C251)&lt;&gt;C251),"WAIT: you must enter a whole dollar amount",IF(AND(B253="Is another domestic provider required?",OR(C253="Yes",C253="No"),C251=0),"WAIT: expenditure value cannot be 0",IF(AND(B253="Is another domestic provider required?",OR(C253="Yes",C253="No"),C251&lt;0),"WAIT: expenditure value cannot be negative",IF(OR(AND(B253="Is another domestic provider required?",OR(C253="Yes",C253="No"),B250="",ISNUMBER(MATCH(C249,$C$163:C248,0))),AND(B253="Is another domestic provider required?",OR(C253="Yes",C253="No"),B250="Type provider name manually",ISNUMBER(MATCH(C250,$C$163:C248,0)))),"WAIT: cannot enter same provider twice",IF(AND($B$158="Proceed below",B253="Is another domestic provider required?",C253="Yes"),"Choose provider from the list",IF(AND(B253="Is another domestic provider required?",C253="No"),"Proceed below to confirm details and complete Entry Form","")))))))))))))))))</f>
        <v/>
      </c>
      <c r="C254" s="240"/>
      <c r="D254" s="123" t="str">
        <f>IF(B254&lt;&gt;"Choose provider from the list","",IF(AND(B258&lt;&gt;"Is another domestic provider required?",C254=""),"E",IF(AND(B258&lt;&gt;"Is another domestic provider required?",C254&lt;&gt;""),"",IF(AND(OR(C258="Yes",C258="No"),NOT(ISNUMBER(MATCH(C254,H,0)))),"D",IF(AND(OR(C258="Yes",C258="No"),B255="",ISNUMBER(MATCH(C254,$C$163:C253,0))),"D",IF(AND(OR(C258="Yes",C258="No"),C254&lt;&gt;""),"C",IF(AND(OR(C258="Yes",C258="No"),C254=""),"D","")))))))</f>
        <v/>
      </c>
      <c r="E254" s="123" t="str">
        <f>IF(B254="Choose provider from the list","H","")</f>
        <v/>
      </c>
      <c r="F254" s="124" t="s">
        <v>612</v>
      </c>
      <c r="G254" s="124" t="s">
        <v>610</v>
      </c>
    </row>
    <row r="255" spans="1:7" ht="25.5" thickTop="1" thickBot="1" x14ac:dyDescent="0.5">
      <c r="A255" s="229"/>
      <c r="B255" s="183" t="str">
        <f>IF(B254&lt;&gt;"Choose provider from the list","",IF(C254&lt;&gt;"PROVIDER NOT LISTED","","Type provider name manually"))</f>
        <v/>
      </c>
      <c r="C255" s="240"/>
      <c r="D255" s="123" t="str">
        <f>IF(B254&lt;&gt;"Choose provider from the list","",IF(B255&lt;&gt;"Type provider name manually","",IF(AND(B255="Type provider name manually",C255=""),"E",IF(AND(B255="Type provider name manually",C255&lt;&gt;"",C258=""),"",IF(AND(B258="Is another domestic provider required?",C258&lt;&gt;"",C255&lt;&gt;"",ISNUMBER(MATCH(C255,$C$163:C253,0))),"D",IF(AND(B258="Is another domestic provider required?",C258&lt;&gt;"",C255&lt;&gt;"",NOT(ISNUMBER(MATCH(C255,$C$163:C253,0)))),"C",""))))))</f>
        <v/>
      </c>
      <c r="F255" s="124" t="s">
        <v>612</v>
      </c>
      <c r="G255" s="124" t="s">
        <v>490</v>
      </c>
    </row>
    <row r="256" spans="1:7" ht="25.5" thickTop="1" thickBot="1" x14ac:dyDescent="0.5">
      <c r="A256" s="229"/>
      <c r="B256" s="183" t="str">
        <f>IF(B249="","",IF(B254="Choose provider from the list","Total value of expenditure",IF(AND(B249="Proceed below to confirm details and complete Entry Form",C253="I do not confirm"),"Please revise entries or contact OLSC for assistance",IF(AND(B249="Proceed below to confirm details and complete Entry Form",C253="I confirm"),"Entry Form complete - proceed to Summary sheet",""))))</f>
        <v/>
      </c>
      <c r="C256" s="114"/>
      <c r="D256" s="123" t="str">
        <f>IF(B254&lt;&gt;"Choose provider from the list","",IF(OR(AND(B258&lt;&gt;"Is another domestic provider required?",C254&lt;&gt;"",C254&lt;&gt;"PROVIDER NOT LISTED"),AND(B258&lt;&gt;"Is another domestic provider required?",C254="PROVIDER NOT LISTED",C255&lt;&gt;"")),"E",IF(AND(B258&lt;&gt;"Is another domestic provider required?",C251&lt;&gt;""),"",IF(AND(C258&lt;&gt;"Yes",C258&lt;&gt;"No"),"",IF(NOT(ISNUMBER(C256)),"D",IF(AND(INT(C256)=C256,C256&lt;&gt;"",C256&gt;0),"C","D"))))))</f>
        <v/>
      </c>
      <c r="F256" s="124" t="s">
        <v>612</v>
      </c>
      <c r="G256" s="124" t="s">
        <v>490</v>
      </c>
    </row>
    <row r="257" spans="1:7" ht="25.5" thickTop="1" thickBot="1" x14ac:dyDescent="0.5">
      <c r="A257" s="229"/>
      <c r="B257" s="154"/>
      <c r="C257" s="179"/>
      <c r="F257" s="124" t="s">
        <v>490</v>
      </c>
      <c r="G257" s="124" t="s">
        <v>490</v>
      </c>
    </row>
    <row r="258" spans="1:7" ht="25.5" thickTop="1" thickBot="1" x14ac:dyDescent="0.5">
      <c r="A258" s="229"/>
      <c r="B258" s="236" t="str">
        <f>IF(B254="","",IF(B254="Proceed below to confirm details and complete Entry Form","Please confirm that the details entered into the Entry Form are correct",IF(OR(AND(B254="Choose provider from the list",C254&lt;&gt;"",C254&lt;&gt;"PROVIDER NOT LISTED",C256&lt;&gt;""),AND(B254="Choose provider from the list",C254="PROVIDER NOT LISTED",C255&lt;&gt;"",C256&lt;&gt;"")),"Is another domestic provider required?","")))</f>
        <v/>
      </c>
      <c r="C258" s="113"/>
      <c r="D258" s="123" t="str">
        <f>IF(OR(B259="Please select 'Yes' or 'No' from the drop down list",B259="Please select 'I confirm' or 'I do not confirm' from the drop down list"),"E","")</f>
        <v/>
      </c>
      <c r="E258" s="123" t="str">
        <f>IF(B258="Is another domestic provider required?","E",IF(B258="Please confirm that the details entered into the Entry Form are correct","B",""))</f>
        <v/>
      </c>
      <c r="F258" s="124" t="s">
        <v>612</v>
      </c>
      <c r="G258" s="124" t="s">
        <v>607</v>
      </c>
    </row>
    <row r="259" spans="1:7" ht="25.5" thickTop="1" thickBot="1" x14ac:dyDescent="0.5">
      <c r="A259" s="234" t="str">
        <f>IF(AND(B259="Choose provider from the list",C258="Yes"),"Domestic Provider "&amp;(ROW()-ROW(A$154))/5,"")</f>
        <v/>
      </c>
      <c r="B259" s="183" t="str">
        <f>IF($B$158&lt;&gt;"Proceed below","",IF(ISNUMBER(MATCH("Proceed below to confirm details and complete Entry Form",$B$163:B253,0)),"",IF(AND(B254&lt;&gt;"Choose provider from the list",B254&lt;&gt;"Proceed below to confirm details and complete Entry Form"),"",IF(AND(B258="Please confirm that the details entered into the Entry Form are correct",C258&lt;&gt;"I confirm",C258&lt;&gt;"I do not confirm"),"Please select 'I confirm' or 'I do not confirm' from the drop down list",IF(AND(B258="Please confirm that the details entered into the Entry Form are correct",OR(C258="I confirm",C258="I do not confirm")),"",IF(AND(B258="Is another domestic provider required?",C258&lt;&gt;"Yes",C258&lt;&gt;"No"),"Please select 'Yes' or 'No' from the drop down list",IF(AND(B258="Is another domestic provider required?",OR(C258="Yes",C258="No"),C254=""),"WAIT: you must select a provider from the list",IF(AND(B258="Is another domestic provider required?",OR(C258="Yes",C258="No"),C254="PROVIDER NOT LISTED",C255=""),"WAIT: You must enter a provider name",IF(AND(B258="Is another domestic provider required?",OR(C258="Yes",C258="No"),NOT(ISNUMBER(MATCH(C254,H,0)))),"WAIT: You must select a provider from the list or select 'PROVIDER NOT LISTED'",IF(AND(B258="Is another domestic provider required?",OR(C258="Yes",C258="No"),C256=""),"WAIT: you must enter an expenditure value",IF(AND(B258="Is another domestic provider required?",OR(C258="Yes",C258="No"),NOT(ISNUMBER(C256))),"WAIT: you must enter numbers only",IF(AND(B258="Is another domestic provider required?",OR(C258="Yes",C258="No"),INT(C256)&lt;&gt;C256),"WAIT: you must enter a whole dollar amount",IF(AND(B258="Is another domestic provider required?",OR(C258="Yes",C258="No"),C256=0),"WAIT: expenditure value cannot be 0",IF(AND(B258="Is another domestic provider required?",OR(C258="Yes",C258="No"),C256&lt;0),"WAIT: expenditure value cannot be negative",IF(OR(AND(B258="Is another domestic provider required?",OR(C258="Yes",C258="No"),B255="",ISNUMBER(MATCH(C254,$C$163:C253,0))),AND(B258="Is another domestic provider required?",OR(C258="Yes",C258="No"),B255="Type provider name manually",ISNUMBER(MATCH(C255,$C$163:C253,0)))),"WAIT: cannot enter same provider twice",IF(AND($B$158="Proceed below",B258="Is another domestic provider required?",C258="Yes"),"Choose provider from the list",IF(AND(B258="Is another domestic provider required?",C258="No"),"Proceed below to confirm details and complete Entry Form","")))))))))))))))))</f>
        <v/>
      </c>
      <c r="C259" s="240"/>
      <c r="D259" s="123" t="str">
        <f>IF(B259&lt;&gt;"Choose provider from the list","",IF(AND(B263&lt;&gt;"Is another domestic provider required?",C259=""),"E",IF(AND(B263&lt;&gt;"Is another domestic provider required?",C259&lt;&gt;""),"",IF(AND(OR(C263="Yes",C263="No"),NOT(ISNUMBER(MATCH(C259,H,0)))),"D",IF(AND(OR(C263="Yes",C263="No"),B260="",ISNUMBER(MATCH(C259,$C$163:C258,0))),"D",IF(AND(OR(C263="Yes",C263="No"),C259&lt;&gt;""),"C",IF(AND(OR(C263="Yes",C263="No"),C259=""),"D","")))))))</f>
        <v/>
      </c>
      <c r="E259" s="123" t="str">
        <f>IF(B259="Choose provider from the list","H","")</f>
        <v/>
      </c>
      <c r="F259" s="124" t="s">
        <v>612</v>
      </c>
      <c r="G259" s="124" t="s">
        <v>610</v>
      </c>
    </row>
    <row r="260" spans="1:7" ht="25.5" thickTop="1" thickBot="1" x14ac:dyDescent="0.5">
      <c r="A260" s="229"/>
      <c r="B260" s="183" t="str">
        <f>IF(B259&lt;&gt;"Choose provider from the list","",IF(C259&lt;&gt;"PROVIDER NOT LISTED","","Type provider name manually"))</f>
        <v/>
      </c>
      <c r="C260" s="240"/>
      <c r="D260" s="123" t="str">
        <f>IF(B259&lt;&gt;"Choose provider from the list","",IF(B260&lt;&gt;"Type provider name manually","",IF(AND(B260="Type provider name manually",C260=""),"E",IF(AND(B260="Type provider name manually",C260&lt;&gt;"",C263=""),"",IF(AND(B263="Is another domestic provider required?",C263&lt;&gt;"",C260&lt;&gt;"",ISNUMBER(MATCH(C260,$C$163:C258,0))),"D",IF(AND(B263="Is another domestic provider required?",C263&lt;&gt;"",C260&lt;&gt;"",NOT(ISNUMBER(MATCH(C260,$C$163:C258,0)))),"C",""))))))</f>
        <v/>
      </c>
      <c r="F260" s="124" t="s">
        <v>612</v>
      </c>
      <c r="G260" s="124" t="s">
        <v>490</v>
      </c>
    </row>
    <row r="261" spans="1:7" ht="25.5" thickTop="1" thickBot="1" x14ac:dyDescent="0.5">
      <c r="A261" s="229"/>
      <c r="B261" s="183" t="str">
        <f>IF(B254="","",IF(B259="Choose provider from the list","Total value of expenditure",IF(AND(B254="Proceed below to confirm details and complete Entry Form",C258="I do not confirm"),"Please revise entries or contact OLSC for assistance",IF(AND(B254="Proceed below to confirm details and complete Entry Form",C258="I confirm"),"Entry Form complete - proceed to Summary sheet",""))))</f>
        <v/>
      </c>
      <c r="C261" s="114"/>
      <c r="D261" s="123" t="str">
        <f>IF(B259&lt;&gt;"Choose provider from the list","",IF(OR(AND(B263&lt;&gt;"Is another domestic provider required?",C259&lt;&gt;"",C259&lt;&gt;"PROVIDER NOT LISTED"),AND(B263&lt;&gt;"Is another domestic provider required?",C259="PROVIDER NOT LISTED",C260&lt;&gt;"")),"E",IF(AND(B263&lt;&gt;"Is another domestic provider required?",C256&lt;&gt;""),"",IF(AND(C263&lt;&gt;"Yes",C263&lt;&gt;"No"),"",IF(NOT(ISNUMBER(C261)),"D",IF(AND(INT(C261)=C261,C261&lt;&gt;"",C261&gt;0),"C","D"))))))</f>
        <v/>
      </c>
      <c r="F261" s="124" t="s">
        <v>612</v>
      </c>
      <c r="G261" s="124" t="s">
        <v>490</v>
      </c>
    </row>
    <row r="262" spans="1:7" ht="25.5" thickTop="1" thickBot="1" x14ac:dyDescent="0.5">
      <c r="A262" s="229"/>
      <c r="B262" s="154"/>
      <c r="C262" s="179"/>
      <c r="F262" s="124" t="s">
        <v>490</v>
      </c>
      <c r="G262" s="124" t="s">
        <v>490</v>
      </c>
    </row>
    <row r="263" spans="1:7" ht="25.5" thickTop="1" thickBot="1" x14ac:dyDescent="0.5">
      <c r="A263" s="229"/>
      <c r="B263" s="236" t="str">
        <f>IF(B259="","",IF(B259="Proceed below to confirm details and complete Entry Form","Please confirm that the details entered into the Entry Form are correct",IF(OR(AND(B259="Choose provider from the list",C259&lt;&gt;"",C259&lt;&gt;"PROVIDER NOT LISTED",C261&lt;&gt;""),AND(B259="Choose provider from the list",C259="PROVIDER NOT LISTED",C260&lt;&gt;"",C261&lt;&gt;"")),"Is another domestic provider required?","")))</f>
        <v/>
      </c>
      <c r="C263" s="113"/>
      <c r="D263" s="123" t="str">
        <f>IF(OR(B264="Please select 'Yes' or 'No' from the drop down list",B264="Please select 'I confirm' or 'I do not confirm' from the drop down list"),"E","")</f>
        <v/>
      </c>
      <c r="E263" s="123" t="str">
        <f>IF(B263="Is another domestic provider required?","E",IF(B263="Please confirm that the details entered into the Entry Form are correct","B",""))</f>
        <v/>
      </c>
      <c r="F263" s="124" t="s">
        <v>612</v>
      </c>
      <c r="G263" s="124" t="s">
        <v>607</v>
      </c>
    </row>
    <row r="264" spans="1:7" ht="25.5" thickTop="1" thickBot="1" x14ac:dyDescent="0.5">
      <c r="A264" s="234" t="str">
        <f>IF(AND(B264="Choose provider from the list",C263="Yes"),"Domestic Provider "&amp;(ROW()-ROW(A$154))/5,"")</f>
        <v/>
      </c>
      <c r="B264" s="183" t="str">
        <f>IF($B$158&lt;&gt;"Proceed below","",IF(ISNUMBER(MATCH("Proceed below to confirm details and complete Entry Form",$B$163:B258,0)),"",IF(AND(B259&lt;&gt;"Choose provider from the list",B259&lt;&gt;"Proceed below to confirm details and complete Entry Form"),"",IF(AND(B263="Please confirm that the details entered into the Entry Form are correct",C263&lt;&gt;"I confirm",C263&lt;&gt;"I do not confirm"),"Please select 'I confirm' or 'I do not confirm' from the drop down list",IF(AND(B263="Please confirm that the details entered into the Entry Form are correct",OR(C263="I confirm",C263="I do not confirm")),"",IF(AND(B263="Is another domestic provider required?",C263&lt;&gt;"Yes",C263&lt;&gt;"No"),"Please select 'Yes' or 'No' from the drop down list",IF(AND(B263="Is another domestic provider required?",OR(C263="Yes",C263="No"),C259=""),"WAIT: you must select a provider from the list",IF(AND(B263="Is another domestic provider required?",OR(C263="Yes",C263="No"),C259="PROVIDER NOT LISTED",C260=""),"WAIT: You must enter a provider name",IF(AND(B263="Is another domestic provider required?",OR(C263="Yes",C263="No"),NOT(ISNUMBER(MATCH(C259,H,0)))),"WAIT: You must select a provider from the list or select 'PROVIDER NOT LISTED'",IF(AND(B263="Is another domestic provider required?",OR(C263="Yes",C263="No"),C261=""),"WAIT: you must enter an expenditure value",IF(AND(B263="Is another domestic provider required?",OR(C263="Yes",C263="No"),NOT(ISNUMBER(C261))),"WAIT: you must enter numbers only",IF(AND(B263="Is another domestic provider required?",OR(C263="Yes",C263="No"),INT(C261)&lt;&gt;C261),"WAIT: you must enter a whole dollar amount",IF(AND(B263="Is another domestic provider required?",OR(C263="Yes",C263="No"),C261=0),"WAIT: expenditure value cannot be 0",IF(AND(B263="Is another domestic provider required?",OR(C263="Yes",C263="No"),C261&lt;0),"WAIT: expenditure value cannot be negative",IF(OR(AND(B263="Is another domestic provider required?",OR(C263="Yes",C263="No"),B260="",ISNUMBER(MATCH(C259,$C$163:C258,0))),AND(B263="Is another domestic provider required?",OR(C263="Yes",C263="No"),B260="Type provider name manually",ISNUMBER(MATCH(C260,$C$163:C258,0)))),"WAIT: cannot enter same provider twice",IF(AND($B$158="Proceed below",B263="Is another domestic provider required?",C263="Yes"),"Choose provider from the list",IF(AND(B263="Is another domestic provider required?",C263="No"),"Proceed below to confirm details and complete Entry Form","")))))))))))))))))</f>
        <v/>
      </c>
      <c r="C264" s="240"/>
      <c r="D264" s="123" t="str">
        <f>IF(B264&lt;&gt;"Choose provider from the list","",IF(AND(B268&lt;&gt;"Is another domestic provider required?",C264=""),"E",IF(AND(B268&lt;&gt;"Is another domestic provider required?",C264&lt;&gt;""),"",IF(AND(OR(C268="Yes",C268="No"),NOT(ISNUMBER(MATCH(C264,H,0)))),"D",IF(AND(OR(C268="Yes",C268="No"),B265="",ISNUMBER(MATCH(C264,$C$163:C263,0))),"D",IF(AND(OR(C268="Yes",C268="No"),C264&lt;&gt;""),"C",IF(AND(OR(C268="Yes",C268="No"),C264=""),"D","")))))))</f>
        <v/>
      </c>
      <c r="E264" s="123" t="str">
        <f>IF(B264="Choose provider from the list","H","")</f>
        <v/>
      </c>
      <c r="F264" s="124" t="s">
        <v>612</v>
      </c>
      <c r="G264" s="124" t="s">
        <v>610</v>
      </c>
    </row>
    <row r="265" spans="1:7" ht="25.5" thickTop="1" thickBot="1" x14ac:dyDescent="0.5">
      <c r="A265" s="229"/>
      <c r="B265" s="183" t="str">
        <f>IF(B264&lt;&gt;"Choose provider from the list","",IF(C264&lt;&gt;"PROVIDER NOT LISTED","","Type provider name manually"))</f>
        <v/>
      </c>
      <c r="C265" s="240"/>
      <c r="D265" s="123" t="str">
        <f>IF(B264&lt;&gt;"Choose provider from the list","",IF(B265&lt;&gt;"Type provider name manually","",IF(AND(B265="Type provider name manually",C265=""),"E",IF(AND(B265="Type provider name manually",C265&lt;&gt;"",C268=""),"",IF(AND(B268="Is another domestic provider required?",C268&lt;&gt;"",C265&lt;&gt;"",ISNUMBER(MATCH(C265,$C$163:C263,0))),"D",IF(AND(B268="Is another domestic provider required?",C268&lt;&gt;"",C265&lt;&gt;"",NOT(ISNUMBER(MATCH(C265,$C$163:C263,0)))),"C",""))))))</f>
        <v/>
      </c>
      <c r="F265" s="124" t="s">
        <v>612</v>
      </c>
      <c r="G265" s="124" t="s">
        <v>490</v>
      </c>
    </row>
    <row r="266" spans="1:7" ht="25.5" thickTop="1" thickBot="1" x14ac:dyDescent="0.5">
      <c r="A266" s="229"/>
      <c r="B266" s="183" t="str">
        <f>IF(B259="","",IF(B264="Choose provider from the list","Total value of expenditure",IF(AND(B259="Proceed below to confirm details and complete Entry Form",C263="I do not confirm"),"Please revise entries or contact OLSC for assistance",IF(AND(B259="Proceed below to confirm details and complete Entry Form",C263="I confirm"),"Entry Form complete - proceed to Summary sheet",""))))</f>
        <v/>
      </c>
      <c r="C266" s="114"/>
      <c r="D266" s="123" t="str">
        <f>IF(B264&lt;&gt;"Choose provider from the list","",IF(OR(AND(B268&lt;&gt;"Is another domestic provider required?",C264&lt;&gt;"",C264&lt;&gt;"PROVIDER NOT LISTED"),AND(B268&lt;&gt;"Is another domestic provider required?",C264="PROVIDER NOT LISTED",C265&lt;&gt;"")),"E",IF(AND(B268&lt;&gt;"Is another domestic provider required?",C261&lt;&gt;""),"",IF(AND(C268&lt;&gt;"Yes",C268&lt;&gt;"No"),"",IF(NOT(ISNUMBER(C266)),"D",IF(AND(INT(C266)=C266,C266&lt;&gt;"",C266&gt;0),"C","D"))))))</f>
        <v/>
      </c>
      <c r="F266" s="124" t="s">
        <v>612</v>
      </c>
      <c r="G266" s="124" t="s">
        <v>490</v>
      </c>
    </row>
    <row r="267" spans="1:7" ht="25.5" thickTop="1" thickBot="1" x14ac:dyDescent="0.5">
      <c r="A267" s="229"/>
      <c r="B267" s="154"/>
      <c r="C267" s="179"/>
      <c r="F267" s="124" t="s">
        <v>490</v>
      </c>
      <c r="G267" s="124" t="s">
        <v>490</v>
      </c>
    </row>
    <row r="268" spans="1:7" ht="25.5" thickTop="1" thickBot="1" x14ac:dyDescent="0.5">
      <c r="A268" s="229"/>
      <c r="B268" s="236" t="str">
        <f>IF(B264="","",IF(B264="Proceed below to confirm details and complete Entry Form","Please confirm that the details entered into the Entry Form are correct",IF(OR(AND(B264="Choose provider from the list",C264&lt;&gt;"",C264&lt;&gt;"PROVIDER NOT LISTED",C266&lt;&gt;""),AND(B264="Choose provider from the list",C264="PROVIDER NOT LISTED",C265&lt;&gt;"",C266&lt;&gt;"")),"Is another domestic provider required?","")))</f>
        <v/>
      </c>
      <c r="C268" s="113"/>
      <c r="D268" s="123" t="str">
        <f>IF(OR(B269="Please select 'Yes' or 'No' from the drop down list",B269="Please select 'I confirm' or 'I do not confirm' from the drop down list"),"E","")</f>
        <v/>
      </c>
      <c r="E268" s="123" t="str">
        <f>IF(B268="Is another domestic provider required?","E",IF(B268="Please confirm that the details entered into the Entry Form are correct","B",""))</f>
        <v/>
      </c>
      <c r="F268" s="124" t="s">
        <v>612</v>
      </c>
      <c r="G268" s="124" t="s">
        <v>607</v>
      </c>
    </row>
    <row r="269" spans="1:7" ht="25.5" thickTop="1" thickBot="1" x14ac:dyDescent="0.5">
      <c r="A269" s="234" t="str">
        <f>IF(AND(B269="Choose provider from the list",C268="Yes"),"Domestic Provider "&amp;(ROW()-ROW(A$154))/5,"")</f>
        <v/>
      </c>
      <c r="B269" s="183" t="str">
        <f>IF($B$158&lt;&gt;"Proceed below","",IF(ISNUMBER(MATCH("Proceed below to confirm details and complete Entry Form",$B$163:B263,0)),"",IF(AND(B264&lt;&gt;"Choose provider from the list",B264&lt;&gt;"Proceed below to confirm details and complete Entry Form"),"",IF(AND(B268="Please confirm that the details entered into the Entry Form are correct",C268&lt;&gt;"I confirm",C268&lt;&gt;"I do not confirm"),"Please select 'I confirm' or 'I do not confirm' from the drop down list",IF(AND(B268="Please confirm that the details entered into the Entry Form are correct",OR(C268="I confirm",C268="I do not confirm")),"",IF(AND(B268="Is another domestic provider required?",C268&lt;&gt;"Yes",C268&lt;&gt;"No"),"Please select 'Yes' or 'No' from the drop down list",IF(AND(B268="Is another domestic provider required?",OR(C268="Yes",C268="No"),C264=""),"WAIT: you must select a provider from the list",IF(AND(B268="Is another domestic provider required?",OR(C268="Yes",C268="No"),C264="PROVIDER NOT LISTED",C265=""),"WAIT: You must enter a provider name",IF(AND(B268="Is another domestic provider required?",OR(C268="Yes",C268="No"),NOT(ISNUMBER(MATCH(C264,H,0)))),"WAIT: You must select a provider from the list or select 'PROVIDER NOT LISTED'",IF(AND(B268="Is another domestic provider required?",OR(C268="Yes",C268="No"),C266=""),"WAIT: you must enter an expenditure value",IF(AND(B268="Is another domestic provider required?",OR(C268="Yes",C268="No"),NOT(ISNUMBER(C266))),"WAIT: you must enter numbers only",IF(AND(B268="Is another domestic provider required?",OR(C268="Yes",C268="No"),INT(C266)&lt;&gt;C266),"WAIT: you must enter a whole dollar amount",IF(AND(B268="Is another domestic provider required?",OR(C268="Yes",C268="No"),C266=0),"WAIT: expenditure value cannot be 0",IF(AND(B268="Is another domestic provider required?",OR(C268="Yes",C268="No"),C266&lt;0),"WAIT: expenditure value cannot be negative",IF(OR(AND(B268="Is another domestic provider required?",OR(C268="Yes",C268="No"),B265="",ISNUMBER(MATCH(C264,$C$163:C263,0))),AND(B268="Is another domestic provider required?",OR(C268="Yes",C268="No"),B265="Type provider name manually",ISNUMBER(MATCH(C265,$C$163:C263,0)))),"WAIT: cannot enter same provider twice",IF(AND($B$158="Proceed below",B268="Is another domestic provider required?",C268="Yes"),"Choose provider from the list",IF(AND(B268="Is another domestic provider required?",C268="No"),"Proceed below to confirm details and complete Entry Form","")))))))))))))))))</f>
        <v/>
      </c>
      <c r="C269" s="240"/>
      <c r="D269" s="123" t="str">
        <f>IF(B269&lt;&gt;"Choose provider from the list","",IF(AND(B273&lt;&gt;"Is another domestic provider required?",C269=""),"E",IF(AND(B273&lt;&gt;"Is another domestic provider required?",C269&lt;&gt;""),"",IF(AND(OR(C273="Yes",C273="No"),NOT(ISNUMBER(MATCH(C269,H,0)))),"D",IF(AND(OR(C273="Yes",C273="No"),B270="",ISNUMBER(MATCH(C269,$C$163:C268,0))),"D",IF(AND(OR(C273="Yes",C273="No"),C269&lt;&gt;""),"C",IF(AND(OR(C273="Yes",C273="No"),C269=""),"D","")))))))</f>
        <v/>
      </c>
      <c r="E269" s="123" t="str">
        <f>IF(B269="Choose provider from the list","H","")</f>
        <v/>
      </c>
      <c r="F269" s="124" t="s">
        <v>612</v>
      </c>
      <c r="G269" s="124" t="s">
        <v>610</v>
      </c>
    </row>
    <row r="270" spans="1:7" ht="25.5" thickTop="1" thickBot="1" x14ac:dyDescent="0.5">
      <c r="A270" s="229"/>
      <c r="B270" s="183" t="str">
        <f>IF(B269&lt;&gt;"Choose provider from the list","",IF(C269&lt;&gt;"PROVIDER NOT LISTED","","Type provider name manually"))</f>
        <v/>
      </c>
      <c r="C270" s="240"/>
      <c r="D270" s="123" t="str">
        <f>IF(B269&lt;&gt;"Choose provider from the list","",IF(B270&lt;&gt;"Type provider name manually","",IF(AND(B270="Type provider name manually",C270=""),"E",IF(AND(B270="Type provider name manually",C270&lt;&gt;"",C273=""),"",IF(AND(B273="Is another domestic provider required?",C273&lt;&gt;"",C270&lt;&gt;"",ISNUMBER(MATCH(C270,$C$163:C268,0))),"D",IF(AND(B273="Is another domestic provider required?",C273&lt;&gt;"",C270&lt;&gt;"",NOT(ISNUMBER(MATCH(C270,$C$163:C268,0)))),"C",""))))))</f>
        <v/>
      </c>
      <c r="F270" s="124" t="s">
        <v>612</v>
      </c>
      <c r="G270" s="124" t="s">
        <v>490</v>
      </c>
    </row>
    <row r="271" spans="1:7" ht="25.5" thickTop="1" thickBot="1" x14ac:dyDescent="0.5">
      <c r="A271" s="229"/>
      <c r="B271" s="183" t="str">
        <f>IF(B264="","",IF(B269="Choose provider from the list","Total value of expenditure",IF(AND(B264="Proceed below to confirm details and complete Entry Form",C268="I do not confirm"),"Please revise entries or contact OLSC for assistance",IF(AND(B264="Proceed below to confirm details and complete Entry Form",C268="I confirm"),"Entry Form complete - proceed to Summary sheet",""))))</f>
        <v/>
      </c>
      <c r="C271" s="114"/>
      <c r="D271" s="123" t="str">
        <f>IF(B269&lt;&gt;"Choose provider from the list","",IF(OR(AND(B273&lt;&gt;"Is another domestic provider required?",C269&lt;&gt;"",C269&lt;&gt;"PROVIDER NOT LISTED"),AND(B273&lt;&gt;"Is another domestic provider required?",C269="PROVIDER NOT LISTED",C270&lt;&gt;"")),"E",IF(AND(B273&lt;&gt;"Is another domestic provider required?",C266&lt;&gt;""),"",IF(AND(C273&lt;&gt;"Yes",C273&lt;&gt;"No"),"",IF(NOT(ISNUMBER(C271)),"D",IF(AND(INT(C271)=C271,C271&lt;&gt;"",C271&gt;0),"C","D"))))))</f>
        <v/>
      </c>
      <c r="F271" s="124" t="s">
        <v>612</v>
      </c>
      <c r="G271" s="124" t="s">
        <v>490</v>
      </c>
    </row>
    <row r="272" spans="1:7" ht="25.5" thickTop="1" thickBot="1" x14ac:dyDescent="0.5">
      <c r="A272" s="229"/>
      <c r="B272" s="154"/>
      <c r="C272" s="179"/>
      <c r="F272" s="124" t="s">
        <v>490</v>
      </c>
      <c r="G272" s="124" t="s">
        <v>490</v>
      </c>
    </row>
    <row r="273" spans="1:7" ht="25.5" thickTop="1" thickBot="1" x14ac:dyDescent="0.5">
      <c r="A273" s="229"/>
      <c r="B273" s="236" t="str">
        <f>IF(B269="","",IF(B269="Proceed below to confirm details and complete Entry Form","Please confirm that the details entered into the Entry Form are correct",IF(OR(AND(B269="Choose provider from the list",C269&lt;&gt;"",C269&lt;&gt;"PROVIDER NOT LISTED",C271&lt;&gt;""),AND(B269="Choose provider from the list",C269="PROVIDER NOT LISTED",C270&lt;&gt;"",C271&lt;&gt;"")),"Is another domestic provider required?","")))</f>
        <v/>
      </c>
      <c r="C273" s="113"/>
      <c r="D273" s="123" t="str">
        <f>IF(OR(B274="Please select 'Yes' or 'No' from the drop down list",B274="Please select 'I confirm' or 'I do not confirm' from the drop down list"),"E","")</f>
        <v/>
      </c>
      <c r="E273" s="123" t="str">
        <f>IF(B273="Is another domestic provider required?","E",IF(B273="Please confirm that the details entered into the Entry Form are correct","B",""))</f>
        <v/>
      </c>
      <c r="F273" s="124" t="s">
        <v>612</v>
      </c>
      <c r="G273" s="124" t="s">
        <v>607</v>
      </c>
    </row>
    <row r="274" spans="1:7" ht="25.5" thickTop="1" thickBot="1" x14ac:dyDescent="0.5">
      <c r="A274" s="234" t="str">
        <f>IF(AND(B274="Choose provider from the list",C273="Yes"),"Domestic Provider "&amp;(ROW()-ROW(A$154))/5,"")</f>
        <v/>
      </c>
      <c r="B274" s="183" t="str">
        <f>IF($B$158&lt;&gt;"Proceed below","",IF(ISNUMBER(MATCH("Proceed below to confirm details and complete Entry Form",$B$163:B268,0)),"",IF(AND(B269&lt;&gt;"Choose provider from the list",B269&lt;&gt;"Proceed below to confirm details and complete Entry Form"),"",IF(AND(B273="Please confirm that the details entered into the Entry Form are correct",C273&lt;&gt;"I confirm",C273&lt;&gt;"I do not confirm"),"Please select 'I confirm' or 'I do not confirm' from the drop down list",IF(AND(B273="Please confirm that the details entered into the Entry Form are correct",OR(C273="I confirm",C273="I do not confirm")),"",IF(AND(B273="Is another domestic provider required?",C273&lt;&gt;"Yes",C273&lt;&gt;"No"),"Please select 'Yes' or 'No' from the drop down list",IF(AND(B273="Is another domestic provider required?",OR(C273="Yes",C273="No"),C269=""),"WAIT: you must select a provider from the list",IF(AND(B273="Is another domestic provider required?",OR(C273="Yes",C273="No"),C269="PROVIDER NOT LISTED",C270=""),"WAIT: You must enter a provider name",IF(AND(B273="Is another domestic provider required?",OR(C273="Yes",C273="No"),NOT(ISNUMBER(MATCH(C269,H,0)))),"WAIT: You must select a provider from the list or select 'PROVIDER NOT LISTED'",IF(AND(B273="Is another domestic provider required?",OR(C273="Yes",C273="No"),C271=""),"WAIT: you must enter an expenditure value",IF(AND(B273="Is another domestic provider required?",OR(C273="Yes",C273="No"),NOT(ISNUMBER(C271))),"WAIT: you must enter numbers only",IF(AND(B273="Is another domestic provider required?",OR(C273="Yes",C273="No"),INT(C271)&lt;&gt;C271),"WAIT: you must enter a whole dollar amount",IF(AND(B273="Is another domestic provider required?",OR(C273="Yes",C273="No"),C271=0),"WAIT: expenditure value cannot be 0",IF(AND(B273="Is another domestic provider required?",OR(C273="Yes",C273="No"),C271&lt;0),"WAIT: expenditure value cannot be negative",IF(OR(AND(B273="Is another domestic provider required?",OR(C273="Yes",C273="No"),B270="",ISNUMBER(MATCH(C269,$C$163:C268,0))),AND(B273="Is another domestic provider required?",OR(C273="Yes",C273="No"),B270="Type provider name manually",ISNUMBER(MATCH(C270,$C$163:C268,0)))),"WAIT: cannot enter same provider twice",IF(AND($B$158="Proceed below",B273="Is another domestic provider required?",C273="Yes"),"Choose provider from the list",IF(AND(B273="Is another domestic provider required?",C273="No"),"Proceed below to confirm details and complete Entry Form","")))))))))))))))))</f>
        <v/>
      </c>
      <c r="C274" s="240"/>
      <c r="D274" s="123" t="str">
        <f>IF(B274&lt;&gt;"Choose provider from the list","",IF(AND(B278&lt;&gt;"Is another domestic provider required?",C274=""),"E",IF(AND(B278&lt;&gt;"Is another domestic provider required?",C274&lt;&gt;""),"",IF(AND(OR(C278="Yes",C278="No"),NOT(ISNUMBER(MATCH(C274,H,0)))),"D",IF(AND(OR(C278="Yes",C278="No"),B275="",ISNUMBER(MATCH(C274,$C$163:C273,0))),"D",IF(AND(OR(C278="Yes",C278="No"),C274&lt;&gt;""),"C",IF(AND(OR(C278="Yes",C278="No"),C274=""),"D","")))))))</f>
        <v/>
      </c>
      <c r="E274" s="123" t="str">
        <f>IF(B274="Choose provider from the list","H","")</f>
        <v/>
      </c>
      <c r="F274" s="124" t="s">
        <v>612</v>
      </c>
      <c r="G274" s="124" t="s">
        <v>610</v>
      </c>
    </row>
    <row r="275" spans="1:7" ht="25.5" thickTop="1" thickBot="1" x14ac:dyDescent="0.5">
      <c r="A275" s="229"/>
      <c r="B275" s="183" t="str">
        <f>IF(B274&lt;&gt;"Choose provider from the list","",IF(C274&lt;&gt;"PROVIDER NOT LISTED","","Type provider name manually"))</f>
        <v/>
      </c>
      <c r="C275" s="240"/>
      <c r="D275" s="123" t="str">
        <f>IF(B274&lt;&gt;"Choose provider from the list","",IF(B275&lt;&gt;"Type provider name manually","",IF(AND(B275="Type provider name manually",C275=""),"E",IF(AND(B275="Type provider name manually",C275&lt;&gt;"",C278=""),"",IF(AND(B278="Is another domestic provider required?",C278&lt;&gt;"",C275&lt;&gt;"",ISNUMBER(MATCH(C275,$C$163:C273,0))),"D",IF(AND(B278="Is another domestic provider required?",C278&lt;&gt;"",C275&lt;&gt;"",NOT(ISNUMBER(MATCH(C275,$C$163:C273,0)))),"C",""))))))</f>
        <v/>
      </c>
      <c r="F275" s="124" t="s">
        <v>612</v>
      </c>
      <c r="G275" s="124" t="s">
        <v>490</v>
      </c>
    </row>
    <row r="276" spans="1:7" ht="25.5" thickTop="1" thickBot="1" x14ac:dyDescent="0.5">
      <c r="A276" s="229"/>
      <c r="B276" s="183" t="str">
        <f>IF(B269="","",IF(B274="Choose provider from the list","Total value of expenditure",IF(AND(B269="Proceed below to confirm details and complete Entry Form",C273="I do not confirm"),"Please revise entries or contact OLSC for assistance",IF(AND(B269="Proceed below to confirm details and complete Entry Form",C273="I confirm"),"Entry Form complete - proceed to Summary sheet",""))))</f>
        <v/>
      </c>
      <c r="C276" s="114"/>
      <c r="D276" s="123" t="str">
        <f>IF(B274&lt;&gt;"Choose provider from the list","",IF(OR(AND(B278&lt;&gt;"Is another domestic provider required?",C274&lt;&gt;"",C274&lt;&gt;"PROVIDER NOT LISTED"),AND(B278&lt;&gt;"Is another domestic provider required?",C274="PROVIDER NOT LISTED",C275&lt;&gt;"")),"E",IF(AND(B278&lt;&gt;"Is another domestic provider required?",C271&lt;&gt;""),"",IF(AND(C278&lt;&gt;"Yes",C278&lt;&gt;"No"),"",IF(NOT(ISNUMBER(C276)),"D",IF(AND(INT(C276)=C276,C276&lt;&gt;"",C276&gt;0),"C","D"))))))</f>
        <v/>
      </c>
      <c r="F276" s="124" t="s">
        <v>612</v>
      </c>
      <c r="G276" s="124" t="s">
        <v>490</v>
      </c>
    </row>
    <row r="277" spans="1:7" ht="25.5" thickTop="1" thickBot="1" x14ac:dyDescent="0.5">
      <c r="A277" s="229"/>
      <c r="B277" s="154"/>
      <c r="C277" s="179"/>
      <c r="F277" s="124" t="s">
        <v>490</v>
      </c>
      <c r="G277" s="124" t="s">
        <v>490</v>
      </c>
    </row>
    <row r="278" spans="1:7" ht="25.5" thickTop="1" thickBot="1" x14ac:dyDescent="0.5">
      <c r="A278" s="229"/>
      <c r="B278" s="236" t="str">
        <f>IF(B274="","",IF(B274="Proceed below to confirm details and complete Entry Form","Please confirm that the details entered into the Entry Form are correct",IF(OR(AND(B274="Choose provider from the list",C274&lt;&gt;"",C274&lt;&gt;"PROVIDER NOT LISTED",C276&lt;&gt;""),AND(B274="Choose provider from the list",C274="PROVIDER NOT LISTED",C275&lt;&gt;"",C276&lt;&gt;"")),"Is another domestic provider required?","")))</f>
        <v/>
      </c>
      <c r="C278" s="113"/>
      <c r="D278" s="123" t="str">
        <f>IF(OR(B279="Please select 'Yes' or 'No' from the drop down list",B279="Please select 'I confirm' or 'I do not confirm' from the drop down list"),"E","")</f>
        <v/>
      </c>
      <c r="E278" s="123" t="str">
        <f>IF(B278="Is another domestic provider required?","E",IF(B278="Please confirm that the details entered into the Entry Form are correct","B",""))</f>
        <v/>
      </c>
      <c r="F278" s="124" t="s">
        <v>612</v>
      </c>
      <c r="G278" s="124" t="s">
        <v>607</v>
      </c>
    </row>
    <row r="279" spans="1:7" ht="25.5" thickTop="1" thickBot="1" x14ac:dyDescent="0.5">
      <c r="A279" s="234" t="str">
        <f>IF(AND(B279="Choose provider from the list",C278="Yes"),"Domestic Provider "&amp;(ROW()-ROW(A$154))/5,"")</f>
        <v/>
      </c>
      <c r="B279" s="183" t="str">
        <f>IF($B$158&lt;&gt;"Proceed below","",IF(ISNUMBER(MATCH("Proceed below to confirm details and complete Entry Form",$B$163:B273,0)),"",IF(AND(B274&lt;&gt;"Choose provider from the list",B274&lt;&gt;"Proceed below to confirm details and complete Entry Form"),"",IF(AND(B278="Please confirm that the details entered into the Entry Form are correct",C278&lt;&gt;"I confirm",C278&lt;&gt;"I do not confirm"),"Please select 'I confirm' or 'I do not confirm' from the drop down list",IF(AND(B278="Please confirm that the details entered into the Entry Form are correct",OR(C278="I confirm",C278="I do not confirm")),"",IF(AND(B278="Is another domestic provider required?",C278&lt;&gt;"Yes",C278&lt;&gt;"No"),"Please select 'Yes' or 'No' from the drop down list",IF(AND(B278="Is another domestic provider required?",OR(C278="Yes",C278="No"),C274=""),"WAIT: you must select a provider from the list",IF(AND(B278="Is another domestic provider required?",OR(C278="Yes",C278="No"),C274="PROVIDER NOT LISTED",C275=""),"WAIT: You must enter a provider name",IF(AND(B278="Is another domestic provider required?",OR(C278="Yes",C278="No"),NOT(ISNUMBER(MATCH(C274,H,0)))),"WAIT: You must select a provider from the list or select 'PROVIDER NOT LISTED'",IF(AND(B278="Is another domestic provider required?",OR(C278="Yes",C278="No"),C276=""),"WAIT: you must enter an expenditure value",IF(AND(B278="Is another domestic provider required?",OR(C278="Yes",C278="No"),NOT(ISNUMBER(C276))),"WAIT: you must enter numbers only",IF(AND(B278="Is another domestic provider required?",OR(C278="Yes",C278="No"),INT(C276)&lt;&gt;C276),"WAIT: you must enter a whole dollar amount",IF(AND(B278="Is another domestic provider required?",OR(C278="Yes",C278="No"),C276=0),"WAIT: expenditure value cannot be 0",IF(AND(B278="Is another domestic provider required?",OR(C278="Yes",C278="No"),C276&lt;0),"WAIT: expenditure value cannot be negative",IF(OR(AND(B278="Is another domestic provider required?",OR(C278="Yes",C278="No"),B275="",ISNUMBER(MATCH(C274,$C$163:C273,0))),AND(B278="Is another domestic provider required?",OR(C278="Yes",C278="No"),B275="Type provider name manually",ISNUMBER(MATCH(C275,$C$163:C273,0)))),"WAIT: cannot enter same provider twice",IF(AND($B$158="Proceed below",B278="Is another domestic provider required?",C278="Yes"),"Choose provider from the list",IF(AND(B278="Is another domestic provider required?",C278="No"),"Proceed below to confirm details and complete Entry Form","")))))))))))))))))</f>
        <v/>
      </c>
      <c r="C279" s="240"/>
      <c r="D279" s="123" t="str">
        <f>IF(B279&lt;&gt;"Choose provider from the list","",IF(AND(B283&lt;&gt;"Is another domestic provider required?",C279=""),"E",IF(AND(B283&lt;&gt;"Is another domestic provider required?",C279&lt;&gt;""),"",IF(AND(OR(C283="Yes",C283="No"),NOT(ISNUMBER(MATCH(C279,H,0)))),"D",IF(AND(OR(C283="Yes",C283="No"),B280="",ISNUMBER(MATCH(C279,$C$163:C278,0))),"D",IF(AND(OR(C283="Yes",C283="No"),C279&lt;&gt;""),"C",IF(AND(OR(C283="Yes",C283="No"),C279=""),"D","")))))))</f>
        <v/>
      </c>
      <c r="E279" s="123" t="str">
        <f>IF(B279="Choose provider from the list","H","")</f>
        <v/>
      </c>
      <c r="F279" s="124" t="s">
        <v>612</v>
      </c>
      <c r="G279" s="124" t="s">
        <v>610</v>
      </c>
    </row>
    <row r="280" spans="1:7" ht="25.5" thickTop="1" thickBot="1" x14ac:dyDescent="0.5">
      <c r="A280" s="229"/>
      <c r="B280" s="183" t="str">
        <f>IF(B279&lt;&gt;"Choose provider from the list","",IF(C279&lt;&gt;"PROVIDER NOT LISTED","","Type provider name manually"))</f>
        <v/>
      </c>
      <c r="C280" s="240"/>
      <c r="D280" s="123" t="str">
        <f>IF(B279&lt;&gt;"Choose provider from the list","",IF(B280&lt;&gt;"Type provider name manually","",IF(AND(B280="Type provider name manually",C280=""),"E",IF(AND(B280="Type provider name manually",C280&lt;&gt;"",C283=""),"",IF(AND(B283="Is another domestic provider required?",C283&lt;&gt;"",C280&lt;&gt;"",ISNUMBER(MATCH(C280,$C$163:C278,0))),"D",IF(AND(B283="Is another domestic provider required?",C283&lt;&gt;"",C280&lt;&gt;"",NOT(ISNUMBER(MATCH(C280,$C$163:C278,0)))),"C",""))))))</f>
        <v/>
      </c>
      <c r="F280" s="124" t="s">
        <v>612</v>
      </c>
      <c r="G280" s="124" t="s">
        <v>490</v>
      </c>
    </row>
    <row r="281" spans="1:7" ht="25.5" thickTop="1" thickBot="1" x14ac:dyDescent="0.5">
      <c r="A281" s="229"/>
      <c r="B281" s="183" t="str">
        <f>IF(B274="","",IF(B279="Choose provider from the list","Total value of expenditure",IF(AND(B274="Proceed below to confirm details and complete Entry Form",C278="I do not confirm"),"Please revise entries or contact OLSC for assistance",IF(AND(B274="Proceed below to confirm details and complete Entry Form",C278="I confirm"),"Entry Form complete - proceed to Summary sheet",""))))</f>
        <v/>
      </c>
      <c r="C281" s="114"/>
      <c r="D281" s="123" t="str">
        <f>IF(B279&lt;&gt;"Choose provider from the list","",IF(OR(AND(B283&lt;&gt;"Is another domestic provider required?",C279&lt;&gt;"",C279&lt;&gt;"PROVIDER NOT LISTED"),AND(B283&lt;&gt;"Is another domestic provider required?",C279="PROVIDER NOT LISTED",C280&lt;&gt;"")),"E",IF(AND(B283&lt;&gt;"Is another domestic provider required?",C276&lt;&gt;""),"",IF(AND(C283&lt;&gt;"Yes",C283&lt;&gt;"No"),"",IF(NOT(ISNUMBER(C281)),"D",IF(AND(INT(C281)=C281,C281&lt;&gt;"",C281&gt;0),"C","D"))))))</f>
        <v/>
      </c>
      <c r="F281" s="124" t="s">
        <v>612</v>
      </c>
      <c r="G281" s="124" t="s">
        <v>490</v>
      </c>
    </row>
    <row r="282" spans="1:7" ht="25.5" thickTop="1" thickBot="1" x14ac:dyDescent="0.5">
      <c r="A282" s="229"/>
      <c r="B282" s="154"/>
      <c r="C282" s="179"/>
      <c r="F282" s="124" t="s">
        <v>490</v>
      </c>
      <c r="G282" s="124" t="s">
        <v>490</v>
      </c>
    </row>
    <row r="283" spans="1:7" ht="25.5" thickTop="1" thickBot="1" x14ac:dyDescent="0.5">
      <c r="A283" s="229"/>
      <c r="B283" s="236" t="str">
        <f>IF(B279="","",IF(B279="Proceed below to confirm details and complete Entry Form","Please confirm that the details entered into the Entry Form are correct",IF(OR(AND(B279="Choose provider from the list",C279&lt;&gt;"",C279&lt;&gt;"PROVIDER NOT LISTED",C281&lt;&gt;""),AND(B279="Choose provider from the list",C279="PROVIDER NOT LISTED",C280&lt;&gt;"",C281&lt;&gt;"")),"Is another domestic provider required?","")))</f>
        <v/>
      </c>
      <c r="C283" s="113"/>
      <c r="D283" s="123" t="str">
        <f>IF(OR(B284="Please select 'Yes' or 'No' from the drop down list",B284="Please select 'I confirm' or 'I do not confirm' from the drop down list"),"E","")</f>
        <v/>
      </c>
      <c r="E283" s="123" t="str">
        <f>IF(B283="Is another domestic provider required?","E",IF(B283="Please confirm that the details entered into the Entry Form are correct","B",""))</f>
        <v/>
      </c>
      <c r="F283" s="124" t="s">
        <v>612</v>
      </c>
      <c r="G283" s="124" t="s">
        <v>607</v>
      </c>
    </row>
    <row r="284" spans="1:7" ht="25.5" thickTop="1" thickBot="1" x14ac:dyDescent="0.5">
      <c r="A284" s="234" t="str">
        <f>IF(AND(B284="Choose provider from the list",C283="Yes"),"Domestic Provider "&amp;(ROW()-ROW(A$154))/5,"")</f>
        <v/>
      </c>
      <c r="B284" s="183" t="str">
        <f>IF($B$158&lt;&gt;"Proceed below","",IF(ISNUMBER(MATCH("Proceed below to confirm details and complete Entry Form",$B$163:B278,0)),"",IF(AND(B279&lt;&gt;"Choose provider from the list",B279&lt;&gt;"Proceed below to confirm details and complete Entry Form"),"",IF(AND(B283="Please confirm that the details entered into the Entry Form are correct",C283&lt;&gt;"I confirm",C283&lt;&gt;"I do not confirm"),"Please select 'I confirm' or 'I do not confirm' from the drop down list",IF(AND(B283="Please confirm that the details entered into the Entry Form are correct",OR(C283="I confirm",C283="I do not confirm")),"",IF(AND(B283="Is another domestic provider required?",C283&lt;&gt;"Yes",C283&lt;&gt;"No"),"Please select 'Yes' or 'No' from the drop down list",IF(AND(B283="Is another domestic provider required?",OR(C283="Yes",C283="No"),C279=""),"WAIT: you must select a provider from the list",IF(AND(B283="Is another domestic provider required?",OR(C283="Yes",C283="No"),C279="PROVIDER NOT LISTED",C280=""),"WAIT: You must enter a provider name",IF(AND(B283="Is another domestic provider required?",OR(C283="Yes",C283="No"),NOT(ISNUMBER(MATCH(C279,H,0)))),"WAIT: You must select a provider from the list or select 'PROVIDER NOT LISTED'",IF(AND(B283="Is another domestic provider required?",OR(C283="Yes",C283="No"),C281=""),"WAIT: you must enter an expenditure value",IF(AND(B283="Is another domestic provider required?",OR(C283="Yes",C283="No"),NOT(ISNUMBER(C281))),"WAIT: you must enter numbers only",IF(AND(B283="Is another domestic provider required?",OR(C283="Yes",C283="No"),INT(C281)&lt;&gt;C281),"WAIT: you must enter a whole dollar amount",IF(AND(B283="Is another domestic provider required?",OR(C283="Yes",C283="No"),C281=0),"WAIT: expenditure value cannot be 0",IF(AND(B283="Is another domestic provider required?",OR(C283="Yes",C283="No"),C281&lt;0),"WAIT: expenditure value cannot be negative",IF(OR(AND(B283="Is another domestic provider required?",OR(C283="Yes",C283="No"),B280="",ISNUMBER(MATCH(C279,$C$163:C278,0))),AND(B283="Is another domestic provider required?",OR(C283="Yes",C283="No"),B280="Type provider name manually",ISNUMBER(MATCH(C280,$C$163:C278,0)))),"WAIT: cannot enter same provider twice",IF(AND($B$158="Proceed below",B283="Is another domestic provider required?",C283="Yes"),"Choose provider from the list",IF(AND(B283="Is another domestic provider required?",C283="No"),"Proceed below to confirm details and complete Entry Form","")))))))))))))))))</f>
        <v/>
      </c>
      <c r="C284" s="240"/>
      <c r="D284" s="123" t="str">
        <f>IF(B284&lt;&gt;"Choose provider from the list","",IF(AND(B288&lt;&gt;"Is another domestic provider required?",C284=""),"E",IF(AND(B288&lt;&gt;"Is another domestic provider required?",C284&lt;&gt;""),"",IF(AND(OR(C288="Yes",C288="No"),NOT(ISNUMBER(MATCH(C284,H,0)))),"D",IF(AND(OR(C288="Yes",C288="No"),B285="",ISNUMBER(MATCH(C284,$C$163:C283,0))),"D",IF(AND(OR(C288="Yes",C288="No"),C284&lt;&gt;""),"C",IF(AND(OR(C288="Yes",C288="No"),C284=""),"D","")))))))</f>
        <v/>
      </c>
      <c r="E284" s="123" t="str">
        <f>IF(B284="Choose provider from the list","H","")</f>
        <v/>
      </c>
      <c r="F284" s="124" t="s">
        <v>612</v>
      </c>
      <c r="G284" s="124" t="s">
        <v>610</v>
      </c>
    </row>
    <row r="285" spans="1:7" ht="25.5" thickTop="1" thickBot="1" x14ac:dyDescent="0.5">
      <c r="A285" s="229"/>
      <c r="B285" s="183" t="str">
        <f>IF(B284&lt;&gt;"Choose provider from the list","",IF(C284&lt;&gt;"PROVIDER NOT LISTED","","Type provider name manually"))</f>
        <v/>
      </c>
      <c r="C285" s="240"/>
      <c r="D285" s="123" t="str">
        <f>IF(B284&lt;&gt;"Choose provider from the list","",IF(B285&lt;&gt;"Type provider name manually","",IF(AND(B285="Type provider name manually",C285=""),"E",IF(AND(B285="Type provider name manually",C285&lt;&gt;"",C288=""),"",IF(AND(B288="Is another domestic provider required?",C288&lt;&gt;"",C285&lt;&gt;"",ISNUMBER(MATCH(C285,$C$163:C283,0))),"D",IF(AND(B288="Is another domestic provider required?",C288&lt;&gt;"",C285&lt;&gt;"",NOT(ISNUMBER(MATCH(C285,$C$163:C283,0)))),"C",""))))))</f>
        <v/>
      </c>
      <c r="F285" s="124" t="s">
        <v>612</v>
      </c>
      <c r="G285" s="124" t="s">
        <v>490</v>
      </c>
    </row>
    <row r="286" spans="1:7" ht="25.5" thickTop="1" thickBot="1" x14ac:dyDescent="0.5">
      <c r="A286" s="229"/>
      <c r="B286" s="183" t="str">
        <f>IF(B279="","",IF(B284="Choose provider from the list","Total value of expenditure",IF(AND(B279="Proceed below to confirm details and complete Entry Form",C283="I do not confirm"),"Please revise entries or contact OLSC for assistance",IF(AND(B279="Proceed below to confirm details and complete Entry Form",C283="I confirm"),"Entry Form complete - proceed to Summary sheet",""))))</f>
        <v/>
      </c>
      <c r="C286" s="114"/>
      <c r="D286" s="123" t="str">
        <f>IF(B284&lt;&gt;"Choose provider from the list","",IF(OR(AND(B288&lt;&gt;"Is another domestic provider required?",C284&lt;&gt;"",C284&lt;&gt;"PROVIDER NOT LISTED"),AND(B288&lt;&gt;"Is another domestic provider required?",C284="PROVIDER NOT LISTED",C285&lt;&gt;"")),"E",IF(AND(B288&lt;&gt;"Is another domestic provider required?",C281&lt;&gt;""),"",IF(AND(C288&lt;&gt;"Yes",C288&lt;&gt;"No"),"",IF(NOT(ISNUMBER(C286)),"D",IF(AND(INT(C286)=C286,C286&lt;&gt;"",C286&gt;0),"C","D"))))))</f>
        <v/>
      </c>
      <c r="F286" s="124" t="s">
        <v>612</v>
      </c>
      <c r="G286" s="124" t="s">
        <v>490</v>
      </c>
    </row>
    <row r="287" spans="1:7" ht="25.5" thickTop="1" thickBot="1" x14ac:dyDescent="0.5">
      <c r="A287" s="229"/>
      <c r="B287" s="154"/>
      <c r="C287" s="179"/>
      <c r="F287" s="124" t="s">
        <v>490</v>
      </c>
      <c r="G287" s="124" t="s">
        <v>490</v>
      </c>
    </row>
    <row r="288" spans="1:7" ht="25.5" thickTop="1" thickBot="1" x14ac:dyDescent="0.5">
      <c r="A288" s="229"/>
      <c r="B288" s="236" t="str">
        <f>IF(B284="","",IF(B284="Proceed below to confirm details and complete Entry Form","Please confirm that the details entered into the Entry Form are correct",IF(OR(AND(B284="Choose provider from the list",C284&lt;&gt;"",C284&lt;&gt;"PROVIDER NOT LISTED",C286&lt;&gt;""),AND(B284="Choose provider from the list",C284="PROVIDER NOT LISTED",C285&lt;&gt;"",C286&lt;&gt;"")),"Is another domestic provider required?","")))</f>
        <v/>
      </c>
      <c r="C288" s="113"/>
      <c r="D288" s="123" t="str">
        <f>IF(OR(B289="Please select 'Yes' or 'No' from the drop down list",B289="Please select 'I confirm' or 'I do not confirm' from the drop down list"),"E","")</f>
        <v/>
      </c>
      <c r="E288" s="123" t="str">
        <f>IF(B288="Is another domestic provider required?","E",IF(B288="Please confirm that the details entered into the Entry Form are correct","B",""))</f>
        <v/>
      </c>
      <c r="F288" s="124" t="s">
        <v>612</v>
      </c>
      <c r="G288" s="124" t="s">
        <v>607</v>
      </c>
    </row>
    <row r="289" spans="1:7" ht="25.5" thickTop="1" thickBot="1" x14ac:dyDescent="0.5">
      <c r="A289" s="234" t="str">
        <f>IF(AND(B289="Choose provider from the list",C288="Yes"),"Domestic Provider "&amp;(ROW()-ROW(A$154))/5,"")</f>
        <v/>
      </c>
      <c r="B289" s="183" t="str">
        <f>IF($B$158&lt;&gt;"Proceed below","",IF(ISNUMBER(MATCH("Proceed below to confirm details and complete Entry Form",$B$163:B283,0)),"",IF(AND(B284&lt;&gt;"Choose provider from the list",B284&lt;&gt;"Proceed below to confirm details and complete Entry Form"),"",IF(AND(B288="Please confirm that the details entered into the Entry Form are correct",C288&lt;&gt;"I confirm",C288&lt;&gt;"I do not confirm"),"Please select 'I confirm' or 'I do not confirm' from the drop down list",IF(AND(B288="Please confirm that the details entered into the Entry Form are correct",OR(C288="I confirm",C288="I do not confirm")),"",IF(AND(B288="Is another domestic provider required?",C288&lt;&gt;"Yes",C288&lt;&gt;"No"),"Please select 'Yes' or 'No' from the drop down list",IF(AND(B288="Is another domestic provider required?",OR(C288="Yes",C288="No"),C284=""),"WAIT: you must select a provider from the list",IF(AND(B288="Is another domestic provider required?",OR(C288="Yes",C288="No"),C284="PROVIDER NOT LISTED",C285=""),"WAIT: You must enter a provider name",IF(AND(B288="Is another domestic provider required?",OR(C288="Yes",C288="No"),NOT(ISNUMBER(MATCH(C284,H,0)))),"WAIT: You must select a provider from the list or select 'PROVIDER NOT LISTED'",IF(AND(B288="Is another domestic provider required?",OR(C288="Yes",C288="No"),C286=""),"WAIT: you must enter an expenditure value",IF(AND(B288="Is another domestic provider required?",OR(C288="Yes",C288="No"),NOT(ISNUMBER(C286))),"WAIT: you must enter numbers only",IF(AND(B288="Is another domestic provider required?",OR(C288="Yes",C288="No"),INT(C286)&lt;&gt;C286),"WAIT: you must enter a whole dollar amount",IF(AND(B288="Is another domestic provider required?",OR(C288="Yes",C288="No"),C286=0),"WAIT: expenditure value cannot be 0",IF(AND(B288="Is another domestic provider required?",OR(C288="Yes",C288="No"),C286&lt;0),"WAIT: expenditure value cannot be negative",IF(OR(AND(B288="Is another domestic provider required?",OR(C288="Yes",C288="No"),B285="",ISNUMBER(MATCH(C284,$C$163:C283,0))),AND(B288="Is another domestic provider required?",OR(C288="Yes",C288="No"),B285="Type provider name manually",ISNUMBER(MATCH(C285,$C$163:C283,0)))),"WAIT: cannot enter same provider twice",IF(AND($B$158="Proceed below",B288="Is another domestic provider required?",C288="Yes"),"Choose provider from the list",IF(AND(B288="Is another domestic provider required?",C288="No"),"Proceed below to confirm details and complete Entry Form","")))))))))))))))))</f>
        <v/>
      </c>
      <c r="C289" s="240"/>
      <c r="D289" s="123" t="str">
        <f>IF(B289&lt;&gt;"Choose provider from the list","",IF(AND(B293&lt;&gt;"Is another domestic provider required?",C289=""),"E",IF(AND(B293&lt;&gt;"Is another domestic provider required?",C289&lt;&gt;""),"",IF(AND(OR(C293="Yes",C293="No"),NOT(ISNUMBER(MATCH(C289,H,0)))),"D",IF(AND(OR(C293="Yes",C293="No"),B290="",ISNUMBER(MATCH(C289,$C$163:C288,0))),"D",IF(AND(OR(C293="Yes",C293="No"),C289&lt;&gt;""),"C",IF(AND(OR(C293="Yes",C293="No"),C289=""),"D","")))))))</f>
        <v/>
      </c>
      <c r="E289" s="123" t="str">
        <f>IF(B289="Choose provider from the list","H","")</f>
        <v/>
      </c>
      <c r="F289" s="124" t="s">
        <v>612</v>
      </c>
      <c r="G289" s="124" t="s">
        <v>610</v>
      </c>
    </row>
    <row r="290" spans="1:7" ht="25.5" thickTop="1" thickBot="1" x14ac:dyDescent="0.5">
      <c r="A290" s="229"/>
      <c r="B290" s="183" t="str">
        <f>IF(B289&lt;&gt;"Choose provider from the list","",IF(C289&lt;&gt;"PROVIDER NOT LISTED","","Type provider name manually"))</f>
        <v/>
      </c>
      <c r="C290" s="240"/>
      <c r="D290" s="123" t="str">
        <f>IF(B289&lt;&gt;"Choose provider from the list","",IF(B290&lt;&gt;"Type provider name manually","",IF(AND(B290="Type provider name manually",C290=""),"E",IF(AND(B290="Type provider name manually",C290&lt;&gt;"",C293=""),"",IF(AND(B293="Is another domestic provider required?",C293&lt;&gt;"",C290&lt;&gt;"",ISNUMBER(MATCH(C290,$C$163:C288,0))),"D",IF(AND(B293="Is another domestic provider required?",C293&lt;&gt;"",C290&lt;&gt;"",NOT(ISNUMBER(MATCH(C290,$C$163:C288,0)))),"C",""))))))</f>
        <v/>
      </c>
      <c r="F290" s="124" t="s">
        <v>612</v>
      </c>
      <c r="G290" s="124" t="s">
        <v>490</v>
      </c>
    </row>
    <row r="291" spans="1:7" ht="25.5" thickTop="1" thickBot="1" x14ac:dyDescent="0.5">
      <c r="A291" s="229"/>
      <c r="B291" s="183" t="str">
        <f>IF(B284="","",IF(B289="Choose provider from the list","Total value of expenditure",IF(AND(B284="Proceed below to confirm details and complete Entry Form",C288="I do not confirm"),"Please revise entries or contact OLSC for assistance",IF(AND(B284="Proceed below to confirm details and complete Entry Form",C288="I confirm"),"Entry Form complete - proceed to Summary sheet",""))))</f>
        <v/>
      </c>
      <c r="C291" s="114"/>
      <c r="D291" s="123" t="str">
        <f>IF(B289&lt;&gt;"Choose provider from the list","",IF(OR(AND(B293&lt;&gt;"Is another domestic provider required?",C289&lt;&gt;"",C289&lt;&gt;"PROVIDER NOT LISTED"),AND(B293&lt;&gt;"Is another domestic provider required?",C289="PROVIDER NOT LISTED",C290&lt;&gt;"")),"E",IF(AND(B293&lt;&gt;"Is another domestic provider required?",C286&lt;&gt;""),"",IF(AND(C293&lt;&gt;"Yes",C293&lt;&gt;"No"),"",IF(NOT(ISNUMBER(C291)),"D",IF(AND(INT(C291)=C291,C291&lt;&gt;"",C291&gt;0),"C","D"))))))</f>
        <v/>
      </c>
      <c r="F291" s="124" t="s">
        <v>612</v>
      </c>
      <c r="G291" s="124" t="s">
        <v>490</v>
      </c>
    </row>
    <row r="292" spans="1:7" ht="25.5" thickTop="1" thickBot="1" x14ac:dyDescent="0.5">
      <c r="A292" s="229"/>
      <c r="B292" s="154"/>
      <c r="C292" s="179"/>
      <c r="F292" s="124" t="s">
        <v>490</v>
      </c>
      <c r="G292" s="124" t="s">
        <v>490</v>
      </c>
    </row>
    <row r="293" spans="1:7" ht="25.5" thickTop="1" thickBot="1" x14ac:dyDescent="0.5">
      <c r="A293" s="229"/>
      <c r="B293" s="236" t="str">
        <f>IF(B289="","",IF(B289="Proceed below to confirm details and complete Entry Form","Please confirm that the details entered into the Entry Form are correct",IF(OR(AND(B289="Choose provider from the list",C289&lt;&gt;"",C289&lt;&gt;"PROVIDER NOT LISTED",C291&lt;&gt;""),AND(B289="Choose provider from the list",C289="PROVIDER NOT LISTED",C290&lt;&gt;"",C291&lt;&gt;"")),"Is another domestic provider required?","")))</f>
        <v/>
      </c>
      <c r="C293" s="113"/>
      <c r="D293" s="123" t="str">
        <f>IF(OR(B294="Please select 'Yes' or 'No' from the drop down list",B294="Please select 'I confirm' or 'I do not confirm' from the drop down list"),"E","")</f>
        <v/>
      </c>
      <c r="E293" s="123" t="str">
        <f>IF(B293="Is another domestic provider required?","E",IF(B293="Please confirm that the details entered into the Entry Form are correct","B",""))</f>
        <v/>
      </c>
      <c r="F293" s="124" t="s">
        <v>612</v>
      </c>
      <c r="G293" s="124" t="s">
        <v>607</v>
      </c>
    </row>
    <row r="294" spans="1:7" ht="25.5" thickTop="1" thickBot="1" x14ac:dyDescent="0.5">
      <c r="A294" s="234" t="str">
        <f>IF(AND(B294="Choose provider from the list",C293="Yes"),"Domestic Provider "&amp;(ROW()-ROW(A$154))/5,"")</f>
        <v/>
      </c>
      <c r="B294" s="183" t="str">
        <f>IF($B$158&lt;&gt;"Proceed below","",IF(ISNUMBER(MATCH("Proceed below to confirm details and complete Entry Form",$B$163:B288,0)),"",IF(AND(B289&lt;&gt;"Choose provider from the list",B289&lt;&gt;"Proceed below to confirm details and complete Entry Form"),"",IF(AND(B293="Please confirm that the details entered into the Entry Form are correct",C293&lt;&gt;"I confirm",C293&lt;&gt;"I do not confirm"),"Please select 'I confirm' or 'I do not confirm' from the drop down list",IF(AND(B293="Please confirm that the details entered into the Entry Form are correct",OR(C293="I confirm",C293="I do not confirm")),"",IF(AND(B293="Is another domestic provider required?",C293&lt;&gt;"Yes",C293&lt;&gt;"No"),"Please select 'Yes' or 'No' from the drop down list",IF(AND(B293="Is another domestic provider required?",OR(C293="Yes",C293="No"),C289=""),"WAIT: you must select a provider from the list",IF(AND(B293="Is another domestic provider required?",OR(C293="Yes",C293="No"),C289="PROVIDER NOT LISTED",C290=""),"WAIT: You must enter a provider name",IF(AND(B293="Is another domestic provider required?",OR(C293="Yes",C293="No"),NOT(ISNUMBER(MATCH(C289,H,0)))),"WAIT: You must select a provider from the list or select 'PROVIDER NOT LISTED'",IF(AND(B293="Is another domestic provider required?",OR(C293="Yes",C293="No"),C291=""),"WAIT: you must enter an expenditure value",IF(AND(B293="Is another domestic provider required?",OR(C293="Yes",C293="No"),NOT(ISNUMBER(C291))),"WAIT: you must enter numbers only",IF(AND(B293="Is another domestic provider required?",OR(C293="Yes",C293="No"),INT(C291)&lt;&gt;C291),"WAIT: you must enter a whole dollar amount",IF(AND(B293="Is another domestic provider required?",OR(C293="Yes",C293="No"),C291=0),"WAIT: expenditure value cannot be 0",IF(AND(B293="Is another domestic provider required?",OR(C293="Yes",C293="No"),C291&lt;0),"WAIT: expenditure value cannot be negative",IF(OR(AND(B293="Is another domestic provider required?",OR(C293="Yes",C293="No"),B290="",ISNUMBER(MATCH(C289,$C$163:C288,0))),AND(B293="Is another domestic provider required?",OR(C293="Yes",C293="No"),B290="Type provider name manually",ISNUMBER(MATCH(C290,$C$163:C288,0)))),"WAIT: cannot enter same provider twice",IF(AND($B$158="Proceed below",B293="Is another domestic provider required?",C293="Yes"),"Choose provider from the list",IF(AND(B293="Is another domestic provider required?",C293="No"),"Proceed below to confirm details and complete Entry Form","")))))))))))))))))</f>
        <v/>
      </c>
      <c r="C294" s="240"/>
      <c r="D294" s="123" t="str">
        <f>IF(B294&lt;&gt;"Choose provider from the list","",IF(AND(B298&lt;&gt;"Is another domestic provider required?",C294=""),"E",IF(AND(B298&lt;&gt;"Is another domestic provider required?",C294&lt;&gt;""),"",IF(AND(OR(C298="Yes",C298="No"),NOT(ISNUMBER(MATCH(C294,H,0)))),"D",IF(AND(OR(C298="Yes",C298="No"),B295="",ISNUMBER(MATCH(C294,$C$163:C293,0))),"D",IF(AND(OR(C298="Yes",C298="No"),C294&lt;&gt;""),"C",IF(AND(OR(C298="Yes",C298="No"),C294=""),"D","")))))))</f>
        <v/>
      </c>
      <c r="E294" s="123" t="str">
        <f>IF(B294="Choose provider from the list","H","")</f>
        <v/>
      </c>
      <c r="F294" s="124" t="s">
        <v>612</v>
      </c>
      <c r="G294" s="124" t="s">
        <v>610</v>
      </c>
    </row>
    <row r="295" spans="1:7" ht="25.5" thickTop="1" thickBot="1" x14ac:dyDescent="0.5">
      <c r="A295" s="229"/>
      <c r="B295" s="183" t="str">
        <f>IF(B294&lt;&gt;"Choose provider from the list","",IF(C294&lt;&gt;"PROVIDER NOT LISTED","","Type provider name manually"))</f>
        <v/>
      </c>
      <c r="C295" s="240"/>
      <c r="D295" s="123" t="str">
        <f>IF(B294&lt;&gt;"Choose provider from the list","",IF(B295&lt;&gt;"Type provider name manually","",IF(AND(B295="Type provider name manually",C295=""),"E",IF(AND(B295="Type provider name manually",C295&lt;&gt;"",C298=""),"",IF(AND(B298="Is another domestic provider required?",C298&lt;&gt;"",C295&lt;&gt;"",ISNUMBER(MATCH(C295,$C$163:C293,0))),"D",IF(AND(B298="Is another domestic provider required?",C298&lt;&gt;"",C295&lt;&gt;"",NOT(ISNUMBER(MATCH(C295,$C$163:C293,0)))),"C",""))))))</f>
        <v/>
      </c>
      <c r="F295" s="124" t="s">
        <v>612</v>
      </c>
      <c r="G295" s="124" t="s">
        <v>490</v>
      </c>
    </row>
    <row r="296" spans="1:7" ht="25.5" thickTop="1" thickBot="1" x14ac:dyDescent="0.5">
      <c r="A296" s="229"/>
      <c r="B296" s="183" t="str">
        <f>IF(B289="","",IF(B294="Choose provider from the list","Total value of expenditure",IF(AND(B289="Proceed below to confirm details and complete Entry Form",C293="I do not confirm"),"Please revise entries or contact OLSC for assistance",IF(AND(B289="Proceed below to confirm details and complete Entry Form",C293="I confirm"),"Entry Form complete - proceed to Summary sheet",""))))</f>
        <v/>
      </c>
      <c r="C296" s="114"/>
      <c r="D296" s="123" t="str">
        <f>IF(B294&lt;&gt;"Choose provider from the list","",IF(OR(AND(B298&lt;&gt;"Is another domestic provider required?",C294&lt;&gt;"",C294&lt;&gt;"PROVIDER NOT LISTED"),AND(B298&lt;&gt;"Is another domestic provider required?",C294="PROVIDER NOT LISTED",C295&lt;&gt;"")),"E",IF(AND(B298&lt;&gt;"Is another domestic provider required?",C291&lt;&gt;""),"",IF(AND(C298&lt;&gt;"Yes",C298&lt;&gt;"No"),"",IF(NOT(ISNUMBER(C296)),"D",IF(AND(INT(C296)=C296,C296&lt;&gt;"",C296&gt;0),"C","D"))))))</f>
        <v/>
      </c>
      <c r="F296" s="124" t="s">
        <v>612</v>
      </c>
      <c r="G296" s="124" t="s">
        <v>490</v>
      </c>
    </row>
    <row r="297" spans="1:7" ht="25.5" thickTop="1" thickBot="1" x14ac:dyDescent="0.5">
      <c r="A297" s="229"/>
      <c r="B297" s="154"/>
      <c r="C297" s="179"/>
      <c r="F297" s="124" t="s">
        <v>490</v>
      </c>
      <c r="G297" s="124" t="s">
        <v>490</v>
      </c>
    </row>
    <row r="298" spans="1:7" ht="25.5" thickTop="1" thickBot="1" x14ac:dyDescent="0.5">
      <c r="A298" s="229"/>
      <c r="B298" s="236" t="str">
        <f>IF(B294="","",IF(B294="Proceed below to confirm details and complete Entry Form","Please confirm that the details entered into the Entry Form are correct",IF(OR(AND(B294="Choose provider from the list",C294&lt;&gt;"",C294&lt;&gt;"PROVIDER NOT LISTED",C296&lt;&gt;""),AND(B294="Choose provider from the list",C294="PROVIDER NOT LISTED",C295&lt;&gt;"",C296&lt;&gt;"")),"Is another domestic provider required?","")))</f>
        <v/>
      </c>
      <c r="C298" s="113"/>
      <c r="D298" s="123" t="str">
        <f>IF(OR(B299="Please select 'Yes' or 'No' from the drop down list",B299="Please select 'I confirm' or 'I do not confirm' from the drop down list"),"E","")</f>
        <v/>
      </c>
      <c r="E298" s="123" t="str">
        <f>IF(B298="Is another domestic provider required?","E",IF(B298="Please confirm that the details entered into the Entry Form are correct","B",""))</f>
        <v/>
      </c>
      <c r="F298" s="124" t="s">
        <v>612</v>
      </c>
      <c r="G298" s="124" t="s">
        <v>607</v>
      </c>
    </row>
    <row r="299" spans="1:7" ht="25.5" thickTop="1" thickBot="1" x14ac:dyDescent="0.5">
      <c r="A299" s="234" t="str">
        <f>IF(AND(B299="Choose provider from the list",C298="Yes"),"Domestic Provider "&amp;(ROW()-ROW(A$154))/5,"")</f>
        <v/>
      </c>
      <c r="B299" s="183" t="str">
        <f>IF($B$158&lt;&gt;"Proceed below","",IF(ISNUMBER(MATCH("Proceed below to confirm details and complete Entry Form",$B$163:B293,0)),"",IF(AND(B294&lt;&gt;"Choose provider from the list",B294&lt;&gt;"Proceed below to confirm details and complete Entry Form"),"",IF(AND(B298="Please confirm that the details entered into the Entry Form are correct",C298&lt;&gt;"I confirm",C298&lt;&gt;"I do not confirm"),"Please select 'I confirm' or 'I do not confirm' from the drop down list",IF(AND(B298="Please confirm that the details entered into the Entry Form are correct",OR(C298="I confirm",C298="I do not confirm")),"",IF(AND(B298="Is another domestic provider required?",C298&lt;&gt;"Yes",C298&lt;&gt;"No"),"Please select 'Yes' or 'No' from the drop down list",IF(AND(B298="Is another domestic provider required?",OR(C298="Yes",C298="No"),C294=""),"WAIT: you must select a provider from the list",IF(AND(B298="Is another domestic provider required?",OR(C298="Yes",C298="No"),C294="PROVIDER NOT LISTED",C295=""),"WAIT: You must enter a provider name",IF(AND(B298="Is another domestic provider required?",OR(C298="Yes",C298="No"),NOT(ISNUMBER(MATCH(C294,H,0)))),"WAIT: You must select a provider from the list or select 'PROVIDER NOT LISTED'",IF(AND(B298="Is another domestic provider required?",OR(C298="Yes",C298="No"),C296=""),"WAIT: you must enter an expenditure value",IF(AND(B298="Is another domestic provider required?",OR(C298="Yes",C298="No"),NOT(ISNUMBER(C296))),"WAIT: you must enter numbers only",IF(AND(B298="Is another domestic provider required?",OR(C298="Yes",C298="No"),INT(C296)&lt;&gt;C296),"WAIT: you must enter a whole dollar amount",IF(AND(B298="Is another domestic provider required?",OR(C298="Yes",C298="No"),C296=0),"WAIT: expenditure value cannot be 0",IF(AND(B298="Is another domestic provider required?",OR(C298="Yes",C298="No"),C296&lt;0),"WAIT: expenditure value cannot be negative",IF(OR(AND(B298="Is another domestic provider required?",OR(C298="Yes",C298="No"),B295="",ISNUMBER(MATCH(C294,$C$163:C293,0))),AND(B298="Is another domestic provider required?",OR(C298="Yes",C298="No"),B295="Type provider name manually",ISNUMBER(MATCH(C295,$C$163:C293,0)))),"WAIT: cannot enter same provider twice",IF(AND($B$158="Proceed below",B298="Is another domestic provider required?",C298="Yes"),"Choose provider from the list",IF(AND(B298="Is another domestic provider required?",C298="No"),"Proceed below to confirm details and complete Entry Form","")))))))))))))))))</f>
        <v/>
      </c>
      <c r="C299" s="240"/>
      <c r="D299" s="123" t="str">
        <f>IF(B299&lt;&gt;"Choose provider from the list","",IF(AND(B303&lt;&gt;"Is another domestic provider required?",C299=""),"E",IF(AND(B303&lt;&gt;"Is another domestic provider required?",C299&lt;&gt;""),"",IF(AND(OR(C303="Yes",C303="No"),NOT(ISNUMBER(MATCH(C299,H,0)))),"D",IF(AND(OR(C303="Yes",C303="No"),B300="",ISNUMBER(MATCH(C299,$C$163:C298,0))),"D",IF(AND(OR(C303="Yes",C303="No"),C299&lt;&gt;""),"C",IF(AND(OR(C303="Yes",C303="No"),C299=""),"D","")))))))</f>
        <v/>
      </c>
      <c r="E299" s="123" t="str">
        <f>IF(B299="Choose provider from the list","H","")</f>
        <v/>
      </c>
      <c r="F299" s="124" t="s">
        <v>612</v>
      </c>
      <c r="G299" s="124" t="s">
        <v>610</v>
      </c>
    </row>
    <row r="300" spans="1:7" ht="25.5" thickTop="1" thickBot="1" x14ac:dyDescent="0.5">
      <c r="A300" s="229"/>
      <c r="B300" s="183" t="str">
        <f>IF(B299&lt;&gt;"Choose provider from the list","",IF(C299&lt;&gt;"PROVIDER NOT LISTED","","Type provider name manually"))</f>
        <v/>
      </c>
      <c r="C300" s="240"/>
      <c r="D300" s="123" t="str">
        <f>IF(B299&lt;&gt;"Choose provider from the list","",IF(B300&lt;&gt;"Type provider name manually","",IF(AND(B300="Type provider name manually",C300=""),"E",IF(AND(B300="Type provider name manually",C300&lt;&gt;"",C303=""),"",IF(AND(B303="Is another domestic provider required?",C303&lt;&gt;"",C300&lt;&gt;"",ISNUMBER(MATCH(C300,$C$163:C298,0))),"D",IF(AND(B303="Is another domestic provider required?",C303&lt;&gt;"",C300&lt;&gt;"",NOT(ISNUMBER(MATCH(C300,$C$163:C298,0)))),"C",""))))))</f>
        <v/>
      </c>
      <c r="F300" s="124" t="s">
        <v>612</v>
      </c>
      <c r="G300" s="124" t="s">
        <v>490</v>
      </c>
    </row>
    <row r="301" spans="1:7" ht="25.5" thickTop="1" thickBot="1" x14ac:dyDescent="0.5">
      <c r="A301" s="229"/>
      <c r="B301" s="183" t="str">
        <f>IF(B294="","",IF(B299="Choose provider from the list","Total value of expenditure",IF(AND(B294="Proceed below to confirm details and complete Entry Form",C298="I do not confirm"),"Please revise entries or contact OLSC for assistance",IF(AND(B294="Proceed below to confirm details and complete Entry Form",C298="I confirm"),"Entry Form complete - proceed to Summary sheet",""))))</f>
        <v/>
      </c>
      <c r="C301" s="114"/>
      <c r="D301" s="123" t="str">
        <f>IF(B299&lt;&gt;"Choose provider from the list","",IF(OR(AND(B303&lt;&gt;"Is another domestic provider required?",C299&lt;&gt;"",C299&lt;&gt;"PROVIDER NOT LISTED"),AND(B303&lt;&gt;"Is another domestic provider required?",C299="PROVIDER NOT LISTED",C300&lt;&gt;"")),"E",IF(AND(B303&lt;&gt;"Is another domestic provider required?",C296&lt;&gt;""),"",IF(AND(C303&lt;&gt;"Yes",C303&lt;&gt;"No"),"",IF(NOT(ISNUMBER(C301)),"D",IF(AND(INT(C301)=C301,C301&lt;&gt;"",C301&gt;0),"C","D"))))))</f>
        <v/>
      </c>
      <c r="F301" s="124" t="s">
        <v>612</v>
      </c>
      <c r="G301" s="124" t="s">
        <v>490</v>
      </c>
    </row>
    <row r="302" spans="1:7" ht="25.5" thickTop="1" thickBot="1" x14ac:dyDescent="0.5">
      <c r="A302" s="229"/>
      <c r="B302" s="154"/>
      <c r="C302" s="179"/>
      <c r="F302" s="124" t="s">
        <v>490</v>
      </c>
      <c r="G302" s="124" t="s">
        <v>490</v>
      </c>
    </row>
    <row r="303" spans="1:7" ht="25.5" thickTop="1" thickBot="1" x14ac:dyDescent="0.5">
      <c r="A303" s="229"/>
      <c r="B303" s="236" t="str">
        <f>IF(B299="","",IF(B299="Proceed below to confirm details and complete Entry Form","Please confirm that the details entered into the Entry Form are correct",IF(OR(AND(B299="Choose provider from the list",C299&lt;&gt;"",C299&lt;&gt;"PROVIDER NOT LISTED",C301&lt;&gt;""),AND(B299="Choose provider from the list",C299="PROVIDER NOT LISTED",C300&lt;&gt;"",C301&lt;&gt;"")),"Is another domestic provider required?","")))</f>
        <v/>
      </c>
      <c r="C303" s="113"/>
      <c r="D303" s="123" t="str">
        <f>IF(OR(B304="Please select 'Yes' or 'No' from the drop down list",B304="Please select 'I confirm' or 'I do not confirm' from the drop down list"),"E","")</f>
        <v/>
      </c>
      <c r="E303" s="123" t="str">
        <f>IF(B303="Is another domestic provider required?","E",IF(B303="Please confirm that the details entered into the Entry Form are correct","B",""))</f>
        <v/>
      </c>
      <c r="F303" s="124" t="s">
        <v>612</v>
      </c>
      <c r="G303" s="124" t="s">
        <v>607</v>
      </c>
    </row>
    <row r="304" spans="1:7" ht="25.5" thickTop="1" thickBot="1" x14ac:dyDescent="0.5">
      <c r="A304" s="234" t="str">
        <f>IF(AND(B304="Choose provider from the list",C303="Yes"),"Domestic Provider "&amp;(ROW()-ROW(A$154))/5,"")</f>
        <v/>
      </c>
      <c r="B304" s="183" t="str">
        <f>IF($B$158&lt;&gt;"Proceed below","",IF(ISNUMBER(MATCH("Proceed below to confirm details and complete Entry Form",$B$163:B298,0)),"",IF(AND(B299&lt;&gt;"Choose provider from the list",B299&lt;&gt;"Proceed below to confirm details and complete Entry Form"),"",IF(AND(B303="Please confirm that the details entered into the Entry Form are correct",C303&lt;&gt;"I confirm",C303&lt;&gt;"I do not confirm"),"Please select 'I confirm' or 'I do not confirm' from the drop down list",IF(AND(B303="Please confirm that the details entered into the Entry Form are correct",OR(C303="I confirm",C303="I do not confirm")),"",IF(AND(B303="Is another domestic provider required?",C303&lt;&gt;"Yes",C303&lt;&gt;"No"),"Please select 'Yes' or 'No' from the drop down list",IF(AND(B303="Is another domestic provider required?",OR(C303="Yes",C303="No"),C299=""),"WAIT: you must select a provider from the list",IF(AND(B303="Is another domestic provider required?",OR(C303="Yes",C303="No"),C299="PROVIDER NOT LISTED",C300=""),"WAIT: You must enter a provider name",IF(AND(B303="Is another domestic provider required?",OR(C303="Yes",C303="No"),NOT(ISNUMBER(MATCH(C299,H,0)))),"WAIT: You must select a provider from the list or select 'PROVIDER NOT LISTED'",IF(AND(B303="Is another domestic provider required?",OR(C303="Yes",C303="No"),C301=""),"WAIT: you must enter an expenditure value",IF(AND(B303="Is another domestic provider required?",OR(C303="Yes",C303="No"),NOT(ISNUMBER(C301))),"WAIT: you must enter numbers only",IF(AND(B303="Is another domestic provider required?",OR(C303="Yes",C303="No"),INT(C301)&lt;&gt;C301),"WAIT: you must enter a whole dollar amount",IF(AND(B303="Is another domestic provider required?",OR(C303="Yes",C303="No"),C301=0),"WAIT: expenditure value cannot be 0",IF(AND(B303="Is another domestic provider required?",OR(C303="Yes",C303="No"),C301&lt;0),"WAIT: expenditure value cannot be negative",IF(OR(AND(B303="Is another domestic provider required?",OR(C303="Yes",C303="No"),B300="",ISNUMBER(MATCH(C299,$C$163:C298,0))),AND(B303="Is another domestic provider required?",OR(C303="Yes",C303="No"),B300="Type provider name manually",ISNUMBER(MATCH(C300,$C$163:C298,0)))),"WAIT: cannot enter same provider twice",IF(AND($B$158="Proceed below",B303="Is another domestic provider required?",C303="Yes"),"Choose provider from the list",IF(AND(B303="Is another domestic provider required?",C303="No"),"Proceed below to confirm details and complete Entry Form","")))))))))))))))))</f>
        <v/>
      </c>
      <c r="C304" s="240"/>
      <c r="D304" s="123" t="str">
        <f>IF(B304&lt;&gt;"Choose provider from the list","",IF(AND(B308&lt;&gt;"Is another domestic provider required?",C304=""),"E",IF(AND(B308&lt;&gt;"Is another domestic provider required?",C304&lt;&gt;""),"",IF(AND(OR(C308="Yes",C308="No"),NOT(ISNUMBER(MATCH(C304,H,0)))),"D",IF(AND(OR(C308="Yes",C308="No"),B305="",ISNUMBER(MATCH(C304,$C$163:C303,0))),"D",IF(AND(OR(C308="Yes",C308="No"),C304&lt;&gt;""),"C",IF(AND(OR(C308="Yes",C308="No"),C304=""),"D","")))))))</f>
        <v/>
      </c>
      <c r="E304" s="123" t="str">
        <f>IF(B304="Choose provider from the list","H","")</f>
        <v/>
      </c>
      <c r="F304" s="124" t="s">
        <v>612</v>
      </c>
      <c r="G304" s="124" t="s">
        <v>610</v>
      </c>
    </row>
    <row r="305" spans="1:7" ht="25.5" thickTop="1" thickBot="1" x14ac:dyDescent="0.5">
      <c r="A305" s="229"/>
      <c r="B305" s="183" t="str">
        <f>IF(B304&lt;&gt;"Choose provider from the list","",IF(C304&lt;&gt;"PROVIDER NOT LISTED","","Type provider name manually"))</f>
        <v/>
      </c>
      <c r="C305" s="240"/>
      <c r="D305" s="123" t="str">
        <f>IF(B304&lt;&gt;"Choose provider from the list","",IF(B305&lt;&gt;"Type provider name manually","",IF(AND(B305="Type provider name manually",C305=""),"E",IF(AND(B305="Type provider name manually",C305&lt;&gt;"",C308=""),"",IF(AND(B308="Is another domestic provider required?",C308&lt;&gt;"",C305&lt;&gt;"",ISNUMBER(MATCH(C305,$C$163:C303,0))),"D",IF(AND(B308="Is another domestic provider required?",C308&lt;&gt;"",C305&lt;&gt;"",NOT(ISNUMBER(MATCH(C305,$C$163:C303,0)))),"C",""))))))</f>
        <v/>
      </c>
      <c r="F305" s="124" t="s">
        <v>612</v>
      </c>
      <c r="G305" s="124" t="s">
        <v>490</v>
      </c>
    </row>
    <row r="306" spans="1:7" ht="25.5" thickTop="1" thickBot="1" x14ac:dyDescent="0.5">
      <c r="A306" s="229"/>
      <c r="B306" s="183" t="str">
        <f>IF(B299="","",IF(B304="Choose provider from the list","Total value of expenditure",IF(AND(B299="Proceed below to confirm details and complete Entry Form",C303="I do not confirm"),"Please revise entries or contact OLSC for assistance",IF(AND(B299="Proceed below to confirm details and complete Entry Form",C303="I confirm"),"Entry Form complete - proceed to Summary sheet",""))))</f>
        <v/>
      </c>
      <c r="C306" s="114"/>
      <c r="D306" s="123" t="str">
        <f>IF(B304&lt;&gt;"Choose provider from the list","",IF(OR(AND(B308&lt;&gt;"Is another domestic provider required?",C304&lt;&gt;"",C304&lt;&gt;"PROVIDER NOT LISTED"),AND(B308&lt;&gt;"Is another domestic provider required?",C304="PROVIDER NOT LISTED",C305&lt;&gt;"")),"E",IF(AND(B308&lt;&gt;"Is another domestic provider required?",C301&lt;&gt;""),"",IF(AND(C308&lt;&gt;"Yes",C308&lt;&gt;"No"),"",IF(NOT(ISNUMBER(C306)),"D",IF(AND(INT(C306)=C306,C306&lt;&gt;"",C306&gt;0),"C","D"))))))</f>
        <v/>
      </c>
      <c r="F306" s="124" t="s">
        <v>612</v>
      </c>
      <c r="G306" s="124" t="s">
        <v>490</v>
      </c>
    </row>
    <row r="307" spans="1:7" ht="25.5" thickTop="1" thickBot="1" x14ac:dyDescent="0.5">
      <c r="A307" s="229"/>
      <c r="B307" s="154"/>
      <c r="C307" s="179"/>
      <c r="F307" s="124" t="s">
        <v>490</v>
      </c>
      <c r="G307" s="124" t="s">
        <v>490</v>
      </c>
    </row>
    <row r="308" spans="1:7" ht="25.5" thickTop="1" thickBot="1" x14ac:dyDescent="0.5">
      <c r="A308" s="229"/>
      <c r="B308" s="236" t="str">
        <f>IF(B304="","",IF(B304="Proceed below to confirm details and complete Entry Form","Please confirm that the details entered into the Entry Form are correct",IF(OR(AND(B304="Choose provider from the list",C304&lt;&gt;"",C304&lt;&gt;"PROVIDER NOT LISTED",C306&lt;&gt;""),AND(B304="Choose provider from the list",C304="PROVIDER NOT LISTED",C305&lt;&gt;"",C306&lt;&gt;"")),"Is another domestic provider required?","")))</f>
        <v/>
      </c>
      <c r="C308" s="113"/>
      <c r="D308" s="123" t="str">
        <f>IF(OR(B309="Please select 'Yes' or 'No' from the drop down list",B309="Please select 'I confirm' or 'I do not confirm' from the drop down list"),"E","")</f>
        <v/>
      </c>
      <c r="E308" s="123" t="str">
        <f>IF(B308="Is another domestic provider required?","E",IF(B308="Please confirm that the details entered into the Entry Form are correct","B",""))</f>
        <v/>
      </c>
      <c r="F308" s="124" t="s">
        <v>612</v>
      </c>
      <c r="G308" s="124" t="s">
        <v>607</v>
      </c>
    </row>
    <row r="309" spans="1:7" ht="25.5" thickTop="1" thickBot="1" x14ac:dyDescent="0.5">
      <c r="A309" s="234" t="str">
        <f>IF(AND(B309="Choose provider from the list",C308="Yes"),"Domestic Provider "&amp;(ROW()-ROW(A$154))/5,"")</f>
        <v/>
      </c>
      <c r="B309" s="183" t="str">
        <f>IF($B$158&lt;&gt;"Proceed below","",IF(ISNUMBER(MATCH("Proceed below to confirm details and complete Entry Form",$B$163:B303,0)),"",IF(AND(B304&lt;&gt;"Choose provider from the list",B304&lt;&gt;"Proceed below to confirm details and complete Entry Form"),"",IF(AND(B308="Please confirm that the details entered into the Entry Form are correct",C308&lt;&gt;"I confirm",C308&lt;&gt;"I do not confirm"),"Please select 'I confirm' or 'I do not confirm' from the drop down list",IF(AND(B308="Please confirm that the details entered into the Entry Form are correct",OR(C308="I confirm",C308="I do not confirm")),"",IF(AND(B308="Is another domestic provider required?",C308&lt;&gt;"Yes",C308&lt;&gt;"No"),"Please select 'Yes' or 'No' from the drop down list",IF(AND(B308="Is another domestic provider required?",OR(C308="Yes",C308="No"),C304=""),"WAIT: you must select a provider from the list",IF(AND(B308="Is another domestic provider required?",OR(C308="Yes",C308="No"),C304="PROVIDER NOT LISTED",C305=""),"WAIT: You must enter a provider name",IF(AND(B308="Is another domestic provider required?",OR(C308="Yes",C308="No"),NOT(ISNUMBER(MATCH(C304,H,0)))),"WAIT: You must select a provider from the list or select 'PROVIDER NOT LISTED'",IF(AND(B308="Is another domestic provider required?",OR(C308="Yes",C308="No"),C306=""),"WAIT: you must enter an expenditure value",IF(AND(B308="Is another domestic provider required?",OR(C308="Yes",C308="No"),NOT(ISNUMBER(C306))),"WAIT: you must enter numbers only",IF(AND(B308="Is another domestic provider required?",OR(C308="Yes",C308="No"),INT(C306)&lt;&gt;C306),"WAIT: you must enter a whole dollar amount",IF(AND(B308="Is another domestic provider required?",OR(C308="Yes",C308="No"),C306=0),"WAIT: expenditure value cannot be 0",IF(AND(B308="Is another domestic provider required?",OR(C308="Yes",C308="No"),C306&lt;0),"WAIT: expenditure value cannot be negative",IF(OR(AND(B308="Is another domestic provider required?",OR(C308="Yes",C308="No"),B305="",ISNUMBER(MATCH(C304,$C$163:C303,0))),AND(B308="Is another domestic provider required?",OR(C308="Yes",C308="No"),B305="Type provider name manually",ISNUMBER(MATCH(C305,$C$163:C303,0)))),"WAIT: cannot enter same provider twice",IF(AND($B$158="Proceed below",B308="Is another domestic provider required?",C308="Yes"),"Choose provider from the list",IF(AND(B308="Is another domestic provider required?",C308="No"),"Proceed below to confirm details and complete Entry Form","")))))))))))))))))</f>
        <v/>
      </c>
      <c r="C309" s="240"/>
      <c r="D309" s="123" t="str">
        <f>IF(B309&lt;&gt;"Choose provider from the list","",IF(AND(B313&lt;&gt;"Is another domestic provider required?",C309=""),"E",IF(AND(B313&lt;&gt;"Is another domestic provider required?",C309&lt;&gt;""),"",IF(AND(OR(C313="Yes",C313="No"),NOT(ISNUMBER(MATCH(C309,H,0)))),"D",IF(AND(OR(C313="Yes",C313="No"),B310="",ISNUMBER(MATCH(C309,$C$163:C308,0))),"D",IF(AND(OR(C313="Yes",C313="No"),C309&lt;&gt;""),"C",IF(AND(OR(C313="Yes",C313="No"),C309=""),"D","")))))))</f>
        <v/>
      </c>
      <c r="E309" s="123" t="str">
        <f>IF(B309="Choose provider from the list","H","")</f>
        <v/>
      </c>
      <c r="F309" s="124" t="s">
        <v>612</v>
      </c>
      <c r="G309" s="124" t="s">
        <v>610</v>
      </c>
    </row>
    <row r="310" spans="1:7" ht="25.5" thickTop="1" thickBot="1" x14ac:dyDescent="0.5">
      <c r="A310" s="229"/>
      <c r="B310" s="183" t="str">
        <f>IF(B309&lt;&gt;"Choose provider from the list","",IF(C309&lt;&gt;"PROVIDER NOT LISTED","","Type provider name manually"))</f>
        <v/>
      </c>
      <c r="C310" s="240"/>
      <c r="D310" s="123" t="str">
        <f>IF(B309&lt;&gt;"Choose provider from the list","",IF(B310&lt;&gt;"Type provider name manually","",IF(AND(B310="Type provider name manually",C310=""),"E",IF(AND(B310="Type provider name manually",C310&lt;&gt;"",C313=""),"",IF(AND(B313="Is another domestic provider required?",C313&lt;&gt;"",C310&lt;&gt;"",ISNUMBER(MATCH(C310,$C$163:C308,0))),"D",IF(AND(B313="Is another domestic provider required?",C313&lt;&gt;"",C310&lt;&gt;"",NOT(ISNUMBER(MATCH(C310,$C$163:C308,0)))),"C",""))))))</f>
        <v/>
      </c>
      <c r="F310" s="124" t="s">
        <v>612</v>
      </c>
      <c r="G310" s="124" t="s">
        <v>490</v>
      </c>
    </row>
    <row r="311" spans="1:7" ht="25.5" thickTop="1" thickBot="1" x14ac:dyDescent="0.5">
      <c r="A311" s="229"/>
      <c r="B311" s="183" t="str">
        <f>IF(B304="","",IF(B309="Choose provider from the list","Total value of expenditure",IF(AND(B304="Proceed below to confirm details and complete Entry Form",C308="I do not confirm"),"Please revise entries or contact OLSC for assistance",IF(AND(B304="Proceed below to confirm details and complete Entry Form",C308="I confirm"),"Entry Form complete - proceed to Summary sheet",""))))</f>
        <v/>
      </c>
      <c r="C311" s="114"/>
      <c r="D311" s="123" t="str">
        <f>IF(B309&lt;&gt;"Choose provider from the list","",IF(OR(AND(B313&lt;&gt;"Is another domestic provider required?",C309&lt;&gt;"",C309&lt;&gt;"PROVIDER NOT LISTED"),AND(B313&lt;&gt;"Is another domestic provider required?",C309="PROVIDER NOT LISTED",C310&lt;&gt;"")),"E",IF(AND(B313&lt;&gt;"Is another domestic provider required?",C306&lt;&gt;""),"",IF(AND(C313&lt;&gt;"Yes",C313&lt;&gt;"No"),"",IF(NOT(ISNUMBER(C311)),"D",IF(AND(INT(C311)=C311,C311&lt;&gt;"",C311&gt;0),"C","D"))))))</f>
        <v/>
      </c>
      <c r="F311" s="124" t="s">
        <v>612</v>
      </c>
      <c r="G311" s="124" t="s">
        <v>490</v>
      </c>
    </row>
    <row r="312" spans="1:7" ht="25.5" thickTop="1" thickBot="1" x14ac:dyDescent="0.5">
      <c r="A312" s="229"/>
      <c r="B312" s="154"/>
      <c r="C312" s="179"/>
      <c r="F312" s="124" t="s">
        <v>490</v>
      </c>
      <c r="G312" s="124" t="s">
        <v>490</v>
      </c>
    </row>
    <row r="313" spans="1:7" ht="25.5" thickTop="1" thickBot="1" x14ac:dyDescent="0.5">
      <c r="A313" s="229"/>
      <c r="B313" s="236" t="str">
        <f>IF(B309="","",IF(B309="Proceed below to confirm details and complete Entry Form","Please confirm that the details entered into the Entry Form are correct",IF(OR(AND(B309="Choose provider from the list",C309&lt;&gt;"",C309&lt;&gt;"PROVIDER NOT LISTED",C311&lt;&gt;""),AND(B309="Choose provider from the list",C309="PROVIDER NOT LISTED",C310&lt;&gt;"",C311&lt;&gt;"")),"Is another domestic provider required?","")))</f>
        <v/>
      </c>
      <c r="C313" s="113"/>
      <c r="D313" s="123" t="str">
        <f>IF(OR(B314="Please select 'Yes' or 'No' from the drop down list",B314="Please select 'I confirm' or 'I do not confirm' from the drop down list"),"E","")</f>
        <v/>
      </c>
      <c r="E313" s="123" t="str">
        <f>IF(B313="Is another domestic provider required?","E",IF(B313="Please confirm that the details entered into the Entry Form are correct","B",""))</f>
        <v/>
      </c>
      <c r="F313" s="124" t="s">
        <v>612</v>
      </c>
      <c r="G313" s="124" t="s">
        <v>607</v>
      </c>
    </row>
    <row r="314" spans="1:7" ht="25.5" thickTop="1" thickBot="1" x14ac:dyDescent="0.5">
      <c r="A314" s="234" t="str">
        <f>IF(AND(B314="Choose provider from the list",C313="Yes"),"Domestic Provider "&amp;(ROW()-ROW(A$154))/5,"")</f>
        <v/>
      </c>
      <c r="B314" s="183" t="str">
        <f>IF($B$158&lt;&gt;"Proceed below","",IF(ISNUMBER(MATCH("Proceed below to confirm details and complete Entry Form",$B$163:B308,0)),"",IF(AND(B309&lt;&gt;"Choose provider from the list",B309&lt;&gt;"Proceed below to confirm details and complete Entry Form"),"",IF(AND(B313="Please confirm that the details entered into the Entry Form are correct",C313&lt;&gt;"I confirm",C313&lt;&gt;"I do not confirm"),"Please select 'I confirm' or 'I do not confirm' from the drop down list",IF(AND(B313="Please confirm that the details entered into the Entry Form are correct",OR(C313="I confirm",C313="I do not confirm")),"",IF(AND(B313="Is another domestic provider required?",C313&lt;&gt;"Yes",C313&lt;&gt;"No"),"Please select 'Yes' or 'No' from the drop down list",IF(AND(B313="Is another domestic provider required?",OR(C313="Yes",C313="No"),C309=""),"WAIT: you must select a provider from the list",IF(AND(B313="Is another domestic provider required?",OR(C313="Yes",C313="No"),C309="PROVIDER NOT LISTED",C310=""),"WAIT: You must enter a provider name",IF(AND(B313="Is another domestic provider required?",OR(C313="Yes",C313="No"),NOT(ISNUMBER(MATCH(C309,H,0)))),"WAIT: You must select a provider from the list or select 'PROVIDER NOT LISTED'",IF(AND(B313="Is another domestic provider required?",OR(C313="Yes",C313="No"),C311=""),"WAIT: you must enter an expenditure value",IF(AND(B313="Is another domestic provider required?",OR(C313="Yes",C313="No"),NOT(ISNUMBER(C311))),"WAIT: you must enter numbers only",IF(AND(B313="Is another domestic provider required?",OR(C313="Yes",C313="No"),INT(C311)&lt;&gt;C311),"WAIT: you must enter a whole dollar amount",IF(AND(B313="Is another domestic provider required?",OR(C313="Yes",C313="No"),C311=0),"WAIT: expenditure value cannot be 0",IF(AND(B313="Is another domestic provider required?",OR(C313="Yes",C313="No"),C311&lt;0),"WAIT: expenditure value cannot be negative",IF(OR(AND(B313="Is another domestic provider required?",OR(C313="Yes",C313="No"),B310="",ISNUMBER(MATCH(C309,$C$163:C308,0))),AND(B313="Is another domestic provider required?",OR(C313="Yes",C313="No"),B310="Type provider name manually",ISNUMBER(MATCH(C310,$C$163:C308,0)))),"WAIT: cannot enter same provider twice",IF(AND($B$158="Proceed below",B313="Is another domestic provider required?",C313="Yes"),"Choose provider from the list",IF(AND(B313="Is another domestic provider required?",C313="No"),"Proceed below to confirm details and complete Entry Form","")))))))))))))))))</f>
        <v/>
      </c>
      <c r="C314" s="240"/>
      <c r="D314" s="123" t="str">
        <f>IF(B314&lt;&gt;"Choose provider from the list","",IF(AND(B318&lt;&gt;"Is another domestic provider required?",C314=""),"E",IF(AND(B318&lt;&gt;"Is another domestic provider required?",C314&lt;&gt;""),"",IF(AND(OR(C318="Yes",C318="No"),NOT(ISNUMBER(MATCH(C314,H,0)))),"D",IF(AND(OR(C318="Yes",C318="No"),B315="",ISNUMBER(MATCH(C314,$C$163:C313,0))),"D",IF(AND(OR(C318="Yes",C318="No"),C314&lt;&gt;""),"C",IF(AND(OR(C318="Yes",C318="No"),C314=""),"D","")))))))</f>
        <v/>
      </c>
      <c r="E314" s="123" t="str">
        <f>IF(B314="Choose provider from the list","H","")</f>
        <v/>
      </c>
      <c r="F314" s="124" t="s">
        <v>612</v>
      </c>
      <c r="G314" s="124" t="s">
        <v>610</v>
      </c>
    </row>
    <row r="315" spans="1:7" ht="25.5" thickTop="1" thickBot="1" x14ac:dyDescent="0.5">
      <c r="A315" s="229"/>
      <c r="B315" s="183" t="str">
        <f>IF(B314&lt;&gt;"Choose provider from the list","",IF(C314&lt;&gt;"PROVIDER NOT LISTED","","Type provider name manually"))</f>
        <v/>
      </c>
      <c r="C315" s="240"/>
      <c r="D315" s="123" t="str">
        <f>IF(B314&lt;&gt;"Choose provider from the list","",IF(B315&lt;&gt;"Type provider name manually","",IF(AND(B315="Type provider name manually",C315=""),"E",IF(AND(B315="Type provider name manually",C315&lt;&gt;"",C318=""),"",IF(AND(B318="Is another domestic provider required?",C318&lt;&gt;"",C315&lt;&gt;"",ISNUMBER(MATCH(C315,$C$163:C313,0))),"D",IF(AND(B318="Is another domestic provider required?",C318&lt;&gt;"",C315&lt;&gt;"",NOT(ISNUMBER(MATCH(C315,$C$163:C313,0)))),"C",""))))))</f>
        <v/>
      </c>
      <c r="F315" s="124" t="s">
        <v>612</v>
      </c>
      <c r="G315" s="124" t="s">
        <v>490</v>
      </c>
    </row>
    <row r="316" spans="1:7" ht="25.5" thickTop="1" thickBot="1" x14ac:dyDescent="0.5">
      <c r="A316" s="229"/>
      <c r="B316" s="183" t="str">
        <f>IF(B309="","",IF(B314="Choose provider from the list","Total value of expenditure",IF(AND(B309="Proceed below to confirm details and complete Entry Form",C313="I do not confirm"),"Please revise entries or contact OLSC for assistance",IF(AND(B309="Proceed below to confirm details and complete Entry Form",C313="I confirm"),"Entry Form complete - proceed to Summary sheet",""))))</f>
        <v/>
      </c>
      <c r="C316" s="114"/>
      <c r="D316" s="123" t="str">
        <f>IF(B314&lt;&gt;"Choose provider from the list","",IF(OR(AND(B318&lt;&gt;"Is another domestic provider required?",C314&lt;&gt;"",C314&lt;&gt;"PROVIDER NOT LISTED"),AND(B318&lt;&gt;"Is another domestic provider required?",C314="PROVIDER NOT LISTED",C315&lt;&gt;"")),"E",IF(AND(B318&lt;&gt;"Is another domestic provider required?",C311&lt;&gt;""),"",IF(AND(C318&lt;&gt;"Yes",C318&lt;&gt;"No"),"",IF(NOT(ISNUMBER(C316)),"D",IF(AND(INT(C316)=C316,C316&lt;&gt;"",C316&gt;0),"C","D"))))))</f>
        <v/>
      </c>
      <c r="F316" s="124" t="s">
        <v>612</v>
      </c>
      <c r="G316" s="124" t="s">
        <v>490</v>
      </c>
    </row>
    <row r="317" spans="1:7" ht="25.5" thickTop="1" thickBot="1" x14ac:dyDescent="0.5">
      <c r="A317" s="229"/>
      <c r="B317" s="154"/>
      <c r="C317" s="179"/>
      <c r="F317" s="124" t="s">
        <v>490</v>
      </c>
      <c r="G317" s="124" t="s">
        <v>490</v>
      </c>
    </row>
    <row r="318" spans="1:7" ht="25.5" thickTop="1" thickBot="1" x14ac:dyDescent="0.5">
      <c r="A318" s="229"/>
      <c r="B318" s="236" t="str">
        <f>IF(B314="","",IF(B314="Proceed below to confirm details and complete Entry Form","Please confirm that the details entered into the Entry Form are correct",IF(OR(AND(B314="Choose provider from the list",C314&lt;&gt;"",C314&lt;&gt;"PROVIDER NOT LISTED",C316&lt;&gt;""),AND(B314="Choose provider from the list",C314="PROVIDER NOT LISTED",C315&lt;&gt;"",C316&lt;&gt;"")),"Is another domestic provider required?","")))</f>
        <v/>
      </c>
      <c r="C318" s="113"/>
      <c r="D318" s="123" t="str">
        <f>IF(OR(B319="Please select 'Yes' or 'No' from the drop down list",B319="Please select 'I confirm' or 'I do not confirm' from the drop down list"),"E","")</f>
        <v/>
      </c>
      <c r="E318" s="123" t="str">
        <f>IF(B318="Is another domestic provider required?","E",IF(B318="Please confirm that the details entered into the Entry Form are correct","B",""))</f>
        <v/>
      </c>
      <c r="F318" s="124" t="s">
        <v>612</v>
      </c>
      <c r="G318" s="124" t="s">
        <v>607</v>
      </c>
    </row>
    <row r="319" spans="1:7" ht="25.5" thickTop="1" thickBot="1" x14ac:dyDescent="0.5">
      <c r="A319" s="234" t="str">
        <f>IF(AND(B319="Choose provider from the list",C318="Yes"),"Domestic Provider "&amp;(ROW()-ROW(A$154))/5,"")</f>
        <v/>
      </c>
      <c r="B319" s="183" t="str">
        <f>IF($B$158&lt;&gt;"Proceed below","",IF(ISNUMBER(MATCH("Proceed below to confirm details and complete Entry Form",$B$163:B313,0)),"",IF(AND(B314&lt;&gt;"Choose provider from the list",B314&lt;&gt;"Proceed below to confirm details and complete Entry Form"),"",IF(AND(B318="Please confirm that the details entered into the Entry Form are correct",C318&lt;&gt;"I confirm",C318&lt;&gt;"I do not confirm"),"Please select 'I confirm' or 'I do not confirm' from the drop down list",IF(AND(B318="Please confirm that the details entered into the Entry Form are correct",OR(C318="I confirm",C318="I do not confirm")),"",IF(AND(B318="Is another domestic provider required?",C318&lt;&gt;"Yes",C318&lt;&gt;"No"),"Please select 'Yes' or 'No' from the drop down list",IF(AND(B318="Is another domestic provider required?",OR(C318="Yes",C318="No"),C314=""),"WAIT: you must select a provider from the list",IF(AND(B318="Is another domestic provider required?",OR(C318="Yes",C318="No"),C314="PROVIDER NOT LISTED",C315=""),"WAIT: You must enter a provider name",IF(AND(B318="Is another domestic provider required?",OR(C318="Yes",C318="No"),NOT(ISNUMBER(MATCH(C314,H,0)))),"WAIT: You must select a provider from the list or select 'PROVIDER NOT LISTED'",IF(AND(B318="Is another domestic provider required?",OR(C318="Yes",C318="No"),C316=""),"WAIT: you must enter an expenditure value",IF(AND(B318="Is another domestic provider required?",OR(C318="Yes",C318="No"),NOT(ISNUMBER(C316))),"WAIT: you must enter numbers only",IF(AND(B318="Is another domestic provider required?",OR(C318="Yes",C318="No"),INT(C316)&lt;&gt;C316),"WAIT: you must enter a whole dollar amount",IF(AND(B318="Is another domestic provider required?",OR(C318="Yes",C318="No"),C316=0),"WAIT: expenditure value cannot be 0",IF(AND(B318="Is another domestic provider required?",OR(C318="Yes",C318="No"),C316&lt;0),"WAIT: expenditure value cannot be negative",IF(OR(AND(B318="Is another domestic provider required?",OR(C318="Yes",C318="No"),B315="",ISNUMBER(MATCH(C314,$C$163:C313,0))),AND(B318="Is another domestic provider required?",OR(C318="Yes",C318="No"),B315="Type provider name manually",ISNUMBER(MATCH(C315,$C$163:C313,0)))),"WAIT: cannot enter same provider twice",IF(AND($B$158="Proceed below",B318="Is another domestic provider required?",C318="Yes"),"Choose provider from the list",IF(AND(B318="Is another domestic provider required?",C318="No"),"Proceed below to confirm details and complete Entry Form","")))))))))))))))))</f>
        <v/>
      </c>
      <c r="C319" s="240"/>
      <c r="D319" s="123" t="str">
        <f>IF(B319&lt;&gt;"Choose provider from the list","",IF(AND(B323&lt;&gt;"Is another domestic provider required?",C319=""),"E",IF(AND(B323&lt;&gt;"Is another domestic provider required?",C319&lt;&gt;""),"",IF(AND(OR(C323="Yes",C323="No"),NOT(ISNUMBER(MATCH(C319,H,0)))),"D",IF(AND(OR(C323="Yes",C323="No"),B320="",ISNUMBER(MATCH(C319,$C$163:C318,0))),"D",IF(AND(OR(C323="Yes",C323="No"),C319&lt;&gt;""),"C",IF(AND(OR(C323="Yes",C323="No"),C319=""),"D","")))))))</f>
        <v/>
      </c>
      <c r="E319" s="123" t="str">
        <f>IF(B319="Choose provider from the list","H","")</f>
        <v/>
      </c>
      <c r="F319" s="124" t="s">
        <v>612</v>
      </c>
      <c r="G319" s="124" t="s">
        <v>610</v>
      </c>
    </row>
    <row r="320" spans="1:7" ht="25.5" thickTop="1" thickBot="1" x14ac:dyDescent="0.5">
      <c r="A320" s="229"/>
      <c r="B320" s="183" t="str">
        <f>IF(B319&lt;&gt;"Choose provider from the list","",IF(C319&lt;&gt;"PROVIDER NOT LISTED","","Type provider name manually"))</f>
        <v/>
      </c>
      <c r="C320" s="240"/>
      <c r="D320" s="123" t="str">
        <f>IF(B319&lt;&gt;"Choose provider from the list","",IF(B320&lt;&gt;"Type provider name manually","",IF(AND(B320="Type provider name manually",C320=""),"E",IF(AND(B320="Type provider name manually",C320&lt;&gt;"",C323=""),"",IF(AND(B323="Is another domestic provider required?",C323&lt;&gt;"",C320&lt;&gt;"",ISNUMBER(MATCH(C320,$C$163:C318,0))),"D",IF(AND(B323="Is another domestic provider required?",C323&lt;&gt;"",C320&lt;&gt;"",NOT(ISNUMBER(MATCH(C320,$C$163:C318,0)))),"C",""))))))</f>
        <v/>
      </c>
      <c r="F320" s="124" t="s">
        <v>612</v>
      </c>
      <c r="G320" s="124" t="s">
        <v>490</v>
      </c>
    </row>
    <row r="321" spans="1:7" ht="25.5" thickTop="1" thickBot="1" x14ac:dyDescent="0.5">
      <c r="A321" s="229"/>
      <c r="B321" s="183" t="str">
        <f>IF(B314="","",IF(B319="Choose provider from the list","Total value of expenditure",IF(AND(B314="Proceed below to confirm details and complete Entry Form",C318="I do not confirm"),"Please revise entries or contact OLSC for assistance",IF(AND(B314="Proceed below to confirm details and complete Entry Form",C318="I confirm"),"Entry Form complete - proceed to Summary sheet",""))))</f>
        <v/>
      </c>
      <c r="C321" s="114"/>
      <c r="D321" s="123" t="str">
        <f>IF(B319&lt;&gt;"Choose provider from the list","",IF(OR(AND(B323&lt;&gt;"Is another domestic provider required?",C319&lt;&gt;"",C319&lt;&gt;"PROVIDER NOT LISTED"),AND(B323&lt;&gt;"Is another domestic provider required?",C319="PROVIDER NOT LISTED",C320&lt;&gt;"")),"E",IF(AND(B323&lt;&gt;"Is another domestic provider required?",C316&lt;&gt;""),"",IF(AND(C323&lt;&gt;"Yes",C323&lt;&gt;"No"),"",IF(NOT(ISNUMBER(C321)),"D",IF(AND(INT(C321)=C321,C321&lt;&gt;"",C321&gt;0),"C","D"))))))</f>
        <v/>
      </c>
      <c r="F321" s="124" t="s">
        <v>612</v>
      </c>
      <c r="G321" s="124" t="s">
        <v>490</v>
      </c>
    </row>
    <row r="322" spans="1:7" ht="25.5" thickTop="1" thickBot="1" x14ac:dyDescent="0.5">
      <c r="A322" s="229"/>
      <c r="B322" s="154"/>
      <c r="C322" s="179"/>
      <c r="F322" s="124" t="s">
        <v>490</v>
      </c>
      <c r="G322" s="124" t="s">
        <v>490</v>
      </c>
    </row>
    <row r="323" spans="1:7" ht="25.5" thickTop="1" thickBot="1" x14ac:dyDescent="0.5">
      <c r="A323" s="229"/>
      <c r="B323" s="236" t="str">
        <f>IF(B319="","",IF(B319="Proceed below to confirm details and complete Entry Form","Please confirm that the details entered into the Entry Form are correct",IF(OR(AND(B319="Choose provider from the list",C319&lt;&gt;"",C319&lt;&gt;"PROVIDER NOT LISTED",C321&lt;&gt;""),AND(B319="Choose provider from the list",C319="PROVIDER NOT LISTED",C320&lt;&gt;"",C321&lt;&gt;"")),"Is another domestic provider required?","")))</f>
        <v/>
      </c>
      <c r="C323" s="113"/>
      <c r="D323" s="123" t="str">
        <f>IF(OR(B324="Please select 'Yes' or 'No' from the drop down list",B324="Please select 'I confirm' or 'I do not confirm' from the drop down list"),"E","")</f>
        <v/>
      </c>
      <c r="E323" s="123" t="str">
        <f>IF(B323="Is another domestic provider required?","E",IF(B323="Please confirm that the details entered into the Entry Form are correct","B",""))</f>
        <v/>
      </c>
      <c r="F323" s="124" t="s">
        <v>612</v>
      </c>
      <c r="G323" s="124" t="s">
        <v>607</v>
      </c>
    </row>
    <row r="324" spans="1:7" ht="25.5" thickTop="1" thickBot="1" x14ac:dyDescent="0.5">
      <c r="A324" s="234" t="str">
        <f>IF(AND(B324="Choose provider from the list",C323="Yes"),"Domestic Provider "&amp;(ROW()-ROW(A$154))/5,"")</f>
        <v/>
      </c>
      <c r="B324" s="183" t="str">
        <f>IF($B$158&lt;&gt;"Proceed below","",IF(ISNUMBER(MATCH("Proceed below to confirm details and complete Entry Form",$B$163:B318,0)),"",IF(AND(B319&lt;&gt;"Choose provider from the list",B319&lt;&gt;"Proceed below to confirm details and complete Entry Form"),"",IF(AND(B323="Please confirm that the details entered into the Entry Form are correct",C323&lt;&gt;"I confirm",C323&lt;&gt;"I do not confirm"),"Please select 'I confirm' or 'I do not confirm' from the drop down list",IF(AND(B323="Please confirm that the details entered into the Entry Form are correct",OR(C323="I confirm",C323="I do not confirm")),"",IF(AND(B323="Is another domestic provider required?",C323&lt;&gt;"Yes",C323&lt;&gt;"No"),"Please select 'Yes' or 'No' from the drop down list",IF(AND(B323="Is another domestic provider required?",OR(C323="Yes",C323="No"),C319=""),"WAIT: you must select a provider from the list",IF(AND(B323="Is another domestic provider required?",OR(C323="Yes",C323="No"),C319="PROVIDER NOT LISTED",C320=""),"WAIT: You must enter a provider name",IF(AND(B323="Is another domestic provider required?",OR(C323="Yes",C323="No"),NOT(ISNUMBER(MATCH(C319,H,0)))),"WAIT: You must select a provider from the list or select 'PROVIDER NOT LISTED'",IF(AND(B323="Is another domestic provider required?",OR(C323="Yes",C323="No"),C321=""),"WAIT: you must enter an expenditure value",IF(AND(B323="Is another domestic provider required?",OR(C323="Yes",C323="No"),NOT(ISNUMBER(C321))),"WAIT: you must enter numbers only",IF(AND(B323="Is another domestic provider required?",OR(C323="Yes",C323="No"),INT(C321)&lt;&gt;C321),"WAIT: you must enter a whole dollar amount",IF(AND(B323="Is another domestic provider required?",OR(C323="Yes",C323="No"),C321=0),"WAIT: expenditure value cannot be 0",IF(AND(B323="Is another domestic provider required?",OR(C323="Yes",C323="No"),C321&lt;0),"WAIT: expenditure value cannot be negative",IF(OR(AND(B323="Is another domestic provider required?",OR(C323="Yes",C323="No"),B320="",ISNUMBER(MATCH(C319,$C$163:C318,0))),AND(B323="Is another domestic provider required?",OR(C323="Yes",C323="No"),B320="Type provider name manually",ISNUMBER(MATCH(C320,$C$163:C318,0)))),"WAIT: cannot enter same provider twice",IF(AND($B$158="Proceed below",B323="Is another domestic provider required?",C323="Yes"),"Choose provider from the list",IF(AND(B323="Is another domestic provider required?",C323="No"),"Proceed below to confirm details and complete Entry Form","")))))))))))))))))</f>
        <v/>
      </c>
      <c r="C324" s="240"/>
      <c r="D324" s="123" t="str">
        <f>IF(B324&lt;&gt;"Choose provider from the list","",IF(AND(B328&lt;&gt;"Is another domestic provider required?",C324=""),"E",IF(AND(B328&lt;&gt;"Is another domestic provider required?",C324&lt;&gt;""),"",IF(AND(OR(C328="Yes",C328="No"),NOT(ISNUMBER(MATCH(C324,H,0)))),"D",IF(AND(OR(C328="Yes",C328="No"),B325="",ISNUMBER(MATCH(C324,$C$163:C323,0))),"D",IF(AND(OR(C328="Yes",C328="No"),C324&lt;&gt;""),"C",IF(AND(OR(C328="Yes",C328="No"),C324=""),"D","")))))))</f>
        <v/>
      </c>
      <c r="E324" s="123" t="str">
        <f>IF(B324="Choose provider from the list","H","")</f>
        <v/>
      </c>
      <c r="F324" s="124" t="s">
        <v>612</v>
      </c>
      <c r="G324" s="124" t="s">
        <v>610</v>
      </c>
    </row>
    <row r="325" spans="1:7" ht="25.5" thickTop="1" thickBot="1" x14ac:dyDescent="0.5">
      <c r="A325" s="229"/>
      <c r="B325" s="183" t="str">
        <f>IF(B324&lt;&gt;"Choose provider from the list","",IF(C324&lt;&gt;"PROVIDER NOT LISTED","","Type provider name manually"))</f>
        <v/>
      </c>
      <c r="C325" s="240"/>
      <c r="D325" s="123" t="str">
        <f>IF(B324&lt;&gt;"Choose provider from the list","",IF(B325&lt;&gt;"Type provider name manually","",IF(AND(B325="Type provider name manually",C325=""),"E",IF(AND(B325="Type provider name manually",C325&lt;&gt;"",C328=""),"",IF(AND(B328="Is another domestic provider required?",C328&lt;&gt;"",C325&lt;&gt;"",ISNUMBER(MATCH(C325,$C$163:C323,0))),"D",IF(AND(B328="Is another domestic provider required?",C328&lt;&gt;"",C325&lt;&gt;"",NOT(ISNUMBER(MATCH(C325,$C$163:C323,0)))),"C",""))))))</f>
        <v/>
      </c>
      <c r="F325" s="124" t="s">
        <v>612</v>
      </c>
      <c r="G325" s="124" t="s">
        <v>490</v>
      </c>
    </row>
    <row r="326" spans="1:7" ht="25.5" thickTop="1" thickBot="1" x14ac:dyDescent="0.5">
      <c r="A326" s="229"/>
      <c r="B326" s="183" t="str">
        <f>IF(B319="","",IF(B324="Choose provider from the list","Total value of expenditure",IF(AND(B319="Proceed below to confirm details and complete Entry Form",C323="I do not confirm"),"Please revise entries or contact OLSC for assistance",IF(AND(B319="Proceed below to confirm details and complete Entry Form",C323="I confirm"),"Entry Form complete - proceed to Summary sheet",""))))</f>
        <v/>
      </c>
      <c r="C326" s="114"/>
      <c r="D326" s="123" t="str">
        <f>IF(B324&lt;&gt;"Choose provider from the list","",IF(OR(AND(B328&lt;&gt;"Is another domestic provider required?",C324&lt;&gt;"",C324&lt;&gt;"PROVIDER NOT LISTED"),AND(B328&lt;&gt;"Is another domestic provider required?",C324="PROVIDER NOT LISTED",C325&lt;&gt;"")),"E",IF(AND(B328&lt;&gt;"Is another domestic provider required?",C321&lt;&gt;""),"",IF(AND(C328&lt;&gt;"Yes",C328&lt;&gt;"No"),"",IF(NOT(ISNUMBER(C326)),"D",IF(AND(INT(C326)=C326,C326&lt;&gt;"",C326&gt;0),"C","D"))))))</f>
        <v/>
      </c>
      <c r="F326" s="124" t="s">
        <v>612</v>
      </c>
      <c r="G326" s="124" t="s">
        <v>490</v>
      </c>
    </row>
    <row r="327" spans="1:7" ht="25.5" thickTop="1" thickBot="1" x14ac:dyDescent="0.5">
      <c r="A327" s="229"/>
      <c r="B327" s="154"/>
      <c r="C327" s="179"/>
      <c r="F327" s="124" t="s">
        <v>490</v>
      </c>
      <c r="G327" s="124" t="s">
        <v>490</v>
      </c>
    </row>
    <row r="328" spans="1:7" ht="25.5" thickTop="1" thickBot="1" x14ac:dyDescent="0.5">
      <c r="A328" s="229"/>
      <c r="B328" s="236" t="str">
        <f>IF(B324="","",IF(B324="Proceed below to confirm details and complete Entry Form","Please confirm that the details entered into the Entry Form are correct",IF(OR(AND(B324="Choose provider from the list",C324&lt;&gt;"",C324&lt;&gt;"PROVIDER NOT LISTED",C326&lt;&gt;""),AND(B324="Choose provider from the list",C324="PROVIDER NOT LISTED",C325&lt;&gt;"",C326&lt;&gt;"")),"Is another domestic provider required?","")))</f>
        <v/>
      </c>
      <c r="C328" s="113"/>
      <c r="D328" s="123" t="str">
        <f>IF(OR(B329="Please select 'Yes' or 'No' from the drop down list",B329="Please select 'I confirm' or 'I do not confirm' from the drop down list"),"E","")</f>
        <v/>
      </c>
      <c r="E328" s="123" t="str">
        <f>IF(B328="Is another domestic provider required?","E",IF(B328="Please confirm that the details entered into the Entry Form are correct","B",""))</f>
        <v/>
      </c>
      <c r="F328" s="124" t="s">
        <v>612</v>
      </c>
      <c r="G328" s="124" t="s">
        <v>607</v>
      </c>
    </row>
    <row r="329" spans="1:7" ht="25.5" thickTop="1" thickBot="1" x14ac:dyDescent="0.5">
      <c r="A329" s="234" t="str">
        <f>IF(AND(B329="Choose provider from the list",C328="Yes"),"Domestic Provider "&amp;(ROW()-ROW(A$154))/5,"")</f>
        <v/>
      </c>
      <c r="B329" s="183" t="str">
        <f>IF($B$158&lt;&gt;"Proceed below","",IF(ISNUMBER(MATCH("Proceed below to confirm details and complete Entry Form",$B$163:B323,0)),"",IF(AND(B324&lt;&gt;"Choose provider from the list",B324&lt;&gt;"Proceed below to confirm details and complete Entry Form"),"",IF(AND(B328="Please confirm that the details entered into the Entry Form are correct",C328&lt;&gt;"I confirm",C328&lt;&gt;"I do not confirm"),"Please select 'I confirm' or 'I do not confirm' from the drop down list",IF(AND(B328="Please confirm that the details entered into the Entry Form are correct",OR(C328="I confirm",C328="I do not confirm")),"",IF(AND(B328="Is another domestic provider required?",C328&lt;&gt;"Yes",C328&lt;&gt;"No"),"Please select 'Yes' or 'No' from the drop down list",IF(AND(B328="Is another domestic provider required?",OR(C328="Yes",C328="No"),C324=""),"WAIT: you must select a provider from the list",IF(AND(B328="Is another domestic provider required?",OR(C328="Yes",C328="No"),C324="PROVIDER NOT LISTED",C325=""),"WAIT: You must enter a provider name",IF(AND(B328="Is another domestic provider required?",OR(C328="Yes",C328="No"),NOT(ISNUMBER(MATCH(C324,H,0)))),"WAIT: You must select a provider from the list or select 'PROVIDER NOT LISTED'",IF(AND(B328="Is another domestic provider required?",OR(C328="Yes",C328="No"),C326=""),"WAIT: you must enter an expenditure value",IF(AND(B328="Is another domestic provider required?",OR(C328="Yes",C328="No"),NOT(ISNUMBER(C326))),"WAIT: you must enter numbers only",IF(AND(B328="Is another domestic provider required?",OR(C328="Yes",C328="No"),INT(C326)&lt;&gt;C326),"WAIT: you must enter a whole dollar amount",IF(AND(B328="Is another domestic provider required?",OR(C328="Yes",C328="No"),C326=0),"WAIT: expenditure value cannot be 0",IF(AND(B328="Is another domestic provider required?",OR(C328="Yes",C328="No"),C326&lt;0),"WAIT: expenditure value cannot be negative",IF(OR(AND(B328="Is another domestic provider required?",OR(C328="Yes",C328="No"),B325="",ISNUMBER(MATCH(C324,$C$163:C323,0))),AND(B328="Is another domestic provider required?",OR(C328="Yes",C328="No"),B325="Type provider name manually",ISNUMBER(MATCH(C325,$C$163:C323,0)))),"WAIT: cannot enter same provider twice",IF(AND($B$158="Proceed below",B328="Is another domestic provider required?",C328="Yes"),"Choose provider from the list",IF(AND(B328="Is another domestic provider required?",C328="No"),"Proceed below to confirm details and complete Entry Form","")))))))))))))))))</f>
        <v/>
      </c>
      <c r="C329" s="240"/>
      <c r="D329" s="123" t="str">
        <f>IF(B329&lt;&gt;"Choose provider from the list","",IF(AND(B333&lt;&gt;"Is another domestic provider required?",C329=""),"E",IF(AND(B333&lt;&gt;"Is another domestic provider required?",C329&lt;&gt;""),"",IF(AND(OR(C333="Yes",C333="No"),NOT(ISNUMBER(MATCH(C329,H,0)))),"D",IF(AND(OR(C333="Yes",C333="No"),B330="",ISNUMBER(MATCH(C329,$C$163:C328,0))),"D",IF(AND(OR(C333="Yes",C333="No"),C329&lt;&gt;""),"C",IF(AND(OR(C333="Yes",C333="No"),C329=""),"D","")))))))</f>
        <v/>
      </c>
      <c r="E329" s="123" t="str">
        <f>IF(B329="Choose provider from the list","H","")</f>
        <v/>
      </c>
      <c r="F329" s="124" t="s">
        <v>612</v>
      </c>
      <c r="G329" s="124" t="s">
        <v>610</v>
      </c>
    </row>
    <row r="330" spans="1:7" ht="25.5" thickTop="1" thickBot="1" x14ac:dyDescent="0.5">
      <c r="A330" s="229"/>
      <c r="B330" s="183" t="str">
        <f>IF(B329&lt;&gt;"Choose provider from the list","",IF(C329&lt;&gt;"PROVIDER NOT LISTED","","Type provider name manually"))</f>
        <v/>
      </c>
      <c r="C330" s="240"/>
      <c r="D330" s="123" t="str">
        <f>IF(B329&lt;&gt;"Choose provider from the list","",IF(B330&lt;&gt;"Type provider name manually","",IF(AND(B330="Type provider name manually",C330=""),"E",IF(AND(B330="Type provider name manually",C330&lt;&gt;"",C333=""),"",IF(AND(B333="Is another domestic provider required?",C333&lt;&gt;"",C330&lt;&gt;"",ISNUMBER(MATCH(C330,$C$163:C328,0))),"D",IF(AND(B333="Is another domestic provider required?",C333&lt;&gt;"",C330&lt;&gt;"",NOT(ISNUMBER(MATCH(C330,$C$163:C328,0)))),"C",""))))))</f>
        <v/>
      </c>
      <c r="F330" s="124" t="s">
        <v>612</v>
      </c>
      <c r="G330" s="124" t="s">
        <v>490</v>
      </c>
    </row>
    <row r="331" spans="1:7" ht="25.5" thickTop="1" thickBot="1" x14ac:dyDescent="0.5">
      <c r="A331" s="229"/>
      <c r="B331" s="183" t="str">
        <f>IF(B324="","",IF(B329="Choose provider from the list","Total value of expenditure",IF(AND(B324="Proceed below to confirm details and complete Entry Form",C328="I do not confirm"),"Please revise entries or contact OLSC for assistance",IF(AND(B324="Proceed below to confirm details and complete Entry Form",C328="I confirm"),"Entry Form complete - proceed to Summary sheet",""))))</f>
        <v/>
      </c>
      <c r="C331" s="114"/>
      <c r="D331" s="123" t="str">
        <f>IF(B329&lt;&gt;"Choose provider from the list","",IF(OR(AND(B333&lt;&gt;"Is another domestic provider required?",C329&lt;&gt;"",C329&lt;&gt;"PROVIDER NOT LISTED"),AND(B333&lt;&gt;"Is another domestic provider required?",C329="PROVIDER NOT LISTED",C330&lt;&gt;"")),"E",IF(AND(B333&lt;&gt;"Is another domestic provider required?",C326&lt;&gt;""),"",IF(AND(C333&lt;&gt;"Yes",C333&lt;&gt;"No"),"",IF(NOT(ISNUMBER(C331)),"D",IF(AND(INT(C331)=C331,C331&lt;&gt;"",C331&gt;0),"C","D"))))))</f>
        <v/>
      </c>
      <c r="F331" s="124" t="s">
        <v>612</v>
      </c>
      <c r="G331" s="124" t="s">
        <v>490</v>
      </c>
    </row>
    <row r="332" spans="1:7" ht="25.5" thickTop="1" thickBot="1" x14ac:dyDescent="0.5">
      <c r="A332" s="229"/>
      <c r="B332" s="154"/>
      <c r="C332" s="179"/>
      <c r="F332" s="124" t="s">
        <v>490</v>
      </c>
      <c r="G332" s="124" t="s">
        <v>490</v>
      </c>
    </row>
    <row r="333" spans="1:7" ht="25.5" thickTop="1" thickBot="1" x14ac:dyDescent="0.5">
      <c r="A333" s="229"/>
      <c r="B333" s="236" t="str">
        <f>IF(B329="","",IF(B329="Proceed below to confirm details and complete Entry Form","Please confirm that the details entered into the Entry Form are correct",IF(OR(AND(B329="Choose provider from the list",C329&lt;&gt;"",C329&lt;&gt;"PROVIDER NOT LISTED",C331&lt;&gt;""),AND(B329="Choose provider from the list",C329="PROVIDER NOT LISTED",C330&lt;&gt;"",C331&lt;&gt;"")),"Is another domestic provider required?","")))</f>
        <v/>
      </c>
      <c r="C333" s="113"/>
      <c r="D333" s="123" t="str">
        <f>IF(OR(B334="Please select 'Yes' or 'No' from the drop down list",B334="Please select 'I confirm' or 'I do not confirm' from the drop down list"),"E","")</f>
        <v/>
      </c>
      <c r="E333" s="123" t="str">
        <f>IF(B333="Is another domestic provider required?","E",IF(B333="Please confirm that the details entered into the Entry Form are correct","B",""))</f>
        <v/>
      </c>
      <c r="F333" s="124" t="s">
        <v>612</v>
      </c>
      <c r="G333" s="124" t="s">
        <v>607</v>
      </c>
    </row>
    <row r="334" spans="1:7" ht="25.5" thickTop="1" thickBot="1" x14ac:dyDescent="0.5">
      <c r="A334" s="234" t="str">
        <f>IF(AND(B334="Choose provider from the list",C333="Yes"),"Domestic Provider "&amp;(ROW()-ROW(A$154))/5,"")</f>
        <v/>
      </c>
      <c r="B334" s="183" t="str">
        <f>IF($B$158&lt;&gt;"Proceed below","",IF(ISNUMBER(MATCH("Proceed below to confirm details and complete Entry Form",$B$163:B328,0)),"",IF(AND(B329&lt;&gt;"Choose provider from the list",B329&lt;&gt;"Proceed below to confirm details and complete Entry Form"),"",IF(AND(B333="Please confirm that the details entered into the Entry Form are correct",C333&lt;&gt;"I confirm",C333&lt;&gt;"I do not confirm"),"Please select 'I confirm' or 'I do not confirm' from the drop down list",IF(AND(B333="Please confirm that the details entered into the Entry Form are correct",OR(C333="I confirm",C333="I do not confirm")),"",IF(AND(B333="Is another domestic provider required?",C333&lt;&gt;"Yes",C333&lt;&gt;"No"),"Please select 'Yes' or 'No' from the drop down list",IF(AND(B333="Is another domestic provider required?",OR(C333="Yes",C333="No"),C329=""),"WAIT: you must select a provider from the list",IF(AND(B333="Is another domestic provider required?",OR(C333="Yes",C333="No"),C329="PROVIDER NOT LISTED",C330=""),"WAIT: You must enter a provider name",IF(AND(B333="Is another domestic provider required?",OR(C333="Yes",C333="No"),NOT(ISNUMBER(MATCH(C329,H,0)))),"WAIT: You must select a provider from the list or select 'PROVIDER NOT LISTED'",IF(AND(B333="Is another domestic provider required?",OR(C333="Yes",C333="No"),C331=""),"WAIT: you must enter an expenditure value",IF(AND(B333="Is another domestic provider required?",OR(C333="Yes",C333="No"),NOT(ISNUMBER(C331))),"WAIT: you must enter numbers only",IF(AND(B333="Is another domestic provider required?",OR(C333="Yes",C333="No"),INT(C331)&lt;&gt;C331),"WAIT: you must enter a whole dollar amount",IF(AND(B333="Is another domestic provider required?",OR(C333="Yes",C333="No"),C331=0),"WAIT: expenditure value cannot be 0",IF(AND(B333="Is another domestic provider required?",OR(C333="Yes",C333="No"),C331&lt;0),"WAIT: expenditure value cannot be negative",IF(OR(AND(B333="Is another domestic provider required?",OR(C333="Yes",C333="No"),B330="",ISNUMBER(MATCH(C329,$C$163:C328,0))),AND(B333="Is another domestic provider required?",OR(C333="Yes",C333="No"),B330="Type provider name manually",ISNUMBER(MATCH(C330,$C$163:C328,0)))),"WAIT: cannot enter same provider twice",IF(AND($B$158="Proceed below",B333="Is another domestic provider required?",C333="Yes"),"Choose provider from the list",IF(AND(B333="Is another domestic provider required?",C333="No"),"Proceed below to confirm details and complete Entry Form","")))))))))))))))))</f>
        <v/>
      </c>
      <c r="C334" s="240"/>
      <c r="D334" s="123" t="str">
        <f>IF(B334&lt;&gt;"Choose provider from the list","",IF(AND(B338&lt;&gt;"Is another domestic provider required?",C334=""),"E",IF(AND(B338&lt;&gt;"Is another domestic provider required?",C334&lt;&gt;""),"",IF(AND(OR(C338="Yes",C338="No"),NOT(ISNUMBER(MATCH(C334,H,0)))),"D",IF(AND(OR(C338="Yes",C338="No"),B335="",ISNUMBER(MATCH(C334,$C$163:C333,0))),"D",IF(AND(OR(C338="Yes",C338="No"),C334&lt;&gt;""),"C",IF(AND(OR(C338="Yes",C338="No"),C334=""),"D","")))))))</f>
        <v/>
      </c>
      <c r="E334" s="123" t="str">
        <f>IF(B334="Choose provider from the list","H","")</f>
        <v/>
      </c>
      <c r="F334" s="124" t="s">
        <v>612</v>
      </c>
      <c r="G334" s="124" t="s">
        <v>610</v>
      </c>
    </row>
    <row r="335" spans="1:7" ht="25.5" thickTop="1" thickBot="1" x14ac:dyDescent="0.5">
      <c r="A335" s="229"/>
      <c r="B335" s="183" t="str">
        <f>IF(B334&lt;&gt;"Choose provider from the list","",IF(C334&lt;&gt;"PROVIDER NOT LISTED","","Type provider name manually"))</f>
        <v/>
      </c>
      <c r="C335" s="240"/>
      <c r="D335" s="123" t="str">
        <f>IF(B334&lt;&gt;"Choose provider from the list","",IF(B335&lt;&gt;"Type provider name manually","",IF(AND(B335="Type provider name manually",C335=""),"E",IF(AND(B335="Type provider name manually",C335&lt;&gt;"",C338=""),"",IF(AND(B338="Is another domestic provider required?",C338&lt;&gt;"",C335&lt;&gt;"",ISNUMBER(MATCH(C335,$C$163:C333,0))),"D",IF(AND(B338="Is another domestic provider required?",C338&lt;&gt;"",C335&lt;&gt;"",NOT(ISNUMBER(MATCH(C335,$C$163:C333,0)))),"C",""))))))</f>
        <v/>
      </c>
      <c r="F335" s="124" t="s">
        <v>612</v>
      </c>
      <c r="G335" s="124" t="s">
        <v>490</v>
      </c>
    </row>
    <row r="336" spans="1:7" ht="25.5" thickTop="1" thickBot="1" x14ac:dyDescent="0.5">
      <c r="A336" s="229"/>
      <c r="B336" s="183" t="str">
        <f>IF(B329="","",IF(B334="Choose provider from the list","Total value of expenditure",IF(AND(B329="Proceed below to confirm details and complete Entry Form",C333="I do not confirm"),"Please revise entries or contact OLSC for assistance",IF(AND(B329="Proceed below to confirm details and complete Entry Form",C333="I confirm"),"Entry Form complete - proceed to Summary sheet",""))))</f>
        <v/>
      </c>
      <c r="C336" s="114"/>
      <c r="D336" s="123" t="str">
        <f>IF(B334&lt;&gt;"Choose provider from the list","",IF(OR(AND(B338&lt;&gt;"Is another domestic provider required?",C334&lt;&gt;"",C334&lt;&gt;"PROVIDER NOT LISTED"),AND(B338&lt;&gt;"Is another domestic provider required?",C334="PROVIDER NOT LISTED",C335&lt;&gt;"")),"E",IF(AND(B338&lt;&gt;"Is another domestic provider required?",C331&lt;&gt;""),"",IF(AND(C338&lt;&gt;"Yes",C338&lt;&gt;"No"),"",IF(NOT(ISNUMBER(C336)),"D",IF(AND(INT(C336)=C336,C336&lt;&gt;"",C336&gt;0),"C","D"))))))</f>
        <v/>
      </c>
      <c r="F336" s="124" t="s">
        <v>612</v>
      </c>
      <c r="G336" s="124" t="s">
        <v>490</v>
      </c>
    </row>
    <row r="337" spans="1:7" ht="25.5" thickTop="1" thickBot="1" x14ac:dyDescent="0.5">
      <c r="A337" s="229"/>
      <c r="B337" s="154"/>
      <c r="C337" s="179"/>
      <c r="F337" s="124" t="s">
        <v>490</v>
      </c>
      <c r="G337" s="124" t="s">
        <v>490</v>
      </c>
    </row>
    <row r="338" spans="1:7" ht="25.5" thickTop="1" thickBot="1" x14ac:dyDescent="0.5">
      <c r="A338" s="229"/>
      <c r="B338" s="236" t="str">
        <f>IF(B334="","",IF(B334="Proceed below to confirm details and complete Entry Form","Please confirm that the details entered into the Entry Form are correct",IF(OR(AND(B334="Choose provider from the list",C334&lt;&gt;"",C334&lt;&gt;"PROVIDER NOT LISTED",C336&lt;&gt;""),AND(B334="Choose provider from the list",C334="PROVIDER NOT LISTED",C335&lt;&gt;"",C336&lt;&gt;"")),"Is another domestic provider required?","")))</f>
        <v/>
      </c>
      <c r="C338" s="113"/>
      <c r="D338" s="123" t="str">
        <f>IF(OR(B339="Please select 'Yes' or 'No' from the drop down list",B339="Please select 'I confirm' or 'I do not confirm' from the drop down list"),"E","")</f>
        <v/>
      </c>
      <c r="E338" s="123" t="str">
        <f>IF(B338="Is another domestic provider required?","E",IF(B338="Please confirm that the details entered into the Entry Form are correct","B",""))</f>
        <v/>
      </c>
      <c r="F338" s="124" t="s">
        <v>612</v>
      </c>
      <c r="G338" s="124" t="s">
        <v>607</v>
      </c>
    </row>
    <row r="339" spans="1:7" ht="25.5" thickTop="1" thickBot="1" x14ac:dyDescent="0.5">
      <c r="A339" s="234" t="str">
        <f>IF(AND(B339="Choose provider from the list",C338="Yes"),"Domestic Provider "&amp;(ROW()-ROW(A$154))/5,"")</f>
        <v/>
      </c>
      <c r="B339" s="183" t="str">
        <f>IF($B$158&lt;&gt;"Proceed below","",IF(ISNUMBER(MATCH("Proceed below to confirm details and complete Entry Form",$B$163:B333,0)),"",IF(AND(B334&lt;&gt;"Choose provider from the list",B334&lt;&gt;"Proceed below to confirm details and complete Entry Form"),"",IF(AND(B338="Please confirm that the details entered into the Entry Form are correct",C338&lt;&gt;"I confirm",C338&lt;&gt;"I do not confirm"),"Please select 'I confirm' or 'I do not confirm' from the drop down list",IF(AND(B338="Please confirm that the details entered into the Entry Form are correct",OR(C338="I confirm",C338="I do not confirm")),"",IF(AND(B338="Is another domestic provider required?",C338&lt;&gt;"Yes",C338&lt;&gt;"No"),"Please select 'Yes' or 'No' from the drop down list",IF(AND(B338="Is another domestic provider required?",OR(C338="Yes",C338="No"),C334=""),"WAIT: you must select a provider from the list",IF(AND(B338="Is another domestic provider required?",OR(C338="Yes",C338="No"),C334="PROVIDER NOT LISTED",C335=""),"WAIT: You must enter a provider name",IF(AND(B338="Is another domestic provider required?",OR(C338="Yes",C338="No"),NOT(ISNUMBER(MATCH(C334,H,0)))),"WAIT: You must select a provider from the list or select 'PROVIDER NOT LISTED'",IF(AND(B338="Is another domestic provider required?",OR(C338="Yes",C338="No"),C336=""),"WAIT: you must enter an expenditure value",IF(AND(B338="Is another domestic provider required?",OR(C338="Yes",C338="No"),NOT(ISNUMBER(C336))),"WAIT: you must enter numbers only",IF(AND(B338="Is another domestic provider required?",OR(C338="Yes",C338="No"),INT(C336)&lt;&gt;C336),"WAIT: you must enter a whole dollar amount",IF(AND(B338="Is another domestic provider required?",OR(C338="Yes",C338="No"),C336=0),"WAIT: expenditure value cannot be 0",IF(AND(B338="Is another domestic provider required?",OR(C338="Yes",C338="No"),C336&lt;0),"WAIT: expenditure value cannot be negative",IF(OR(AND(B338="Is another domestic provider required?",OR(C338="Yes",C338="No"),B335="",ISNUMBER(MATCH(C334,$C$163:C333,0))),AND(B338="Is another domestic provider required?",OR(C338="Yes",C338="No"),B335="Type provider name manually",ISNUMBER(MATCH(C335,$C$163:C333,0)))),"WAIT: cannot enter same provider twice",IF(AND($B$158="Proceed below",B338="Is another domestic provider required?",C338="Yes"),"Choose provider from the list",IF(AND(B338="Is another domestic provider required?",C338="No"),"Proceed below to confirm details and complete Entry Form","")))))))))))))))))</f>
        <v/>
      </c>
      <c r="C339" s="240"/>
      <c r="D339" s="123" t="str">
        <f>IF(B339&lt;&gt;"Choose provider from the list","",IF(AND(B343&lt;&gt;"Is another domestic provider required?",C339=""),"E",IF(AND(B343&lt;&gt;"Is another domestic provider required?",C339&lt;&gt;""),"",IF(AND(OR(C343="Yes",C343="No"),NOT(ISNUMBER(MATCH(C339,H,0)))),"D",IF(AND(OR(C343="Yes",C343="No"),B340="",ISNUMBER(MATCH(C339,$C$163:C338,0))),"D",IF(AND(OR(C343="Yes",C343="No"),C339&lt;&gt;""),"C",IF(AND(OR(C343="Yes",C343="No"),C339=""),"D","")))))))</f>
        <v/>
      </c>
      <c r="E339" s="123" t="str">
        <f>IF(B339="Choose provider from the list","H","")</f>
        <v/>
      </c>
      <c r="F339" s="124" t="s">
        <v>612</v>
      </c>
      <c r="G339" s="124" t="s">
        <v>610</v>
      </c>
    </row>
    <row r="340" spans="1:7" ht="25.5" thickTop="1" thickBot="1" x14ac:dyDescent="0.5">
      <c r="A340" s="229"/>
      <c r="B340" s="183" t="str">
        <f>IF(B339&lt;&gt;"Choose provider from the list","",IF(C339&lt;&gt;"PROVIDER NOT LISTED","","Type provider name manually"))</f>
        <v/>
      </c>
      <c r="C340" s="240"/>
      <c r="D340" s="123" t="str">
        <f>IF(B339&lt;&gt;"Choose provider from the list","",IF(B340&lt;&gt;"Type provider name manually","",IF(AND(B340="Type provider name manually",C340=""),"E",IF(AND(B340="Type provider name manually",C340&lt;&gt;"",C343=""),"",IF(AND(B343="Is another domestic provider required?",C343&lt;&gt;"",C340&lt;&gt;"",ISNUMBER(MATCH(C340,$C$163:C338,0))),"D",IF(AND(B343="Is another domestic provider required?",C343&lt;&gt;"",C340&lt;&gt;"",NOT(ISNUMBER(MATCH(C340,$C$163:C338,0)))),"C",""))))))</f>
        <v/>
      </c>
      <c r="F340" s="124" t="s">
        <v>612</v>
      </c>
      <c r="G340" s="124" t="s">
        <v>490</v>
      </c>
    </row>
    <row r="341" spans="1:7" ht="25.5" thickTop="1" thickBot="1" x14ac:dyDescent="0.5">
      <c r="A341" s="229"/>
      <c r="B341" s="183" t="str">
        <f>IF(B334="","",IF(B339="Choose provider from the list","Total value of expenditure",IF(AND(B334="Proceed below to confirm details and complete Entry Form",C338="I do not confirm"),"Please revise entries or contact OLSC for assistance",IF(AND(B334="Proceed below to confirm details and complete Entry Form",C338="I confirm"),"Entry Form complete - proceed to Summary sheet",""))))</f>
        <v/>
      </c>
      <c r="C341" s="114"/>
      <c r="D341" s="123" t="str">
        <f>IF(B339&lt;&gt;"Choose provider from the list","",IF(OR(AND(B343&lt;&gt;"Is another domestic provider required?",C339&lt;&gt;"",C339&lt;&gt;"PROVIDER NOT LISTED"),AND(B343&lt;&gt;"Is another domestic provider required?",C339="PROVIDER NOT LISTED",C340&lt;&gt;"")),"E",IF(AND(B343&lt;&gt;"Is another domestic provider required?",C336&lt;&gt;""),"",IF(AND(C343&lt;&gt;"Yes",C343&lt;&gt;"No"),"",IF(NOT(ISNUMBER(C341)),"D",IF(AND(INT(C341)=C341,C341&lt;&gt;"",C341&gt;0),"C","D"))))))</f>
        <v/>
      </c>
      <c r="F341" s="124" t="s">
        <v>612</v>
      </c>
      <c r="G341" s="124" t="s">
        <v>490</v>
      </c>
    </row>
    <row r="342" spans="1:7" ht="25.5" thickTop="1" thickBot="1" x14ac:dyDescent="0.5">
      <c r="A342" s="229"/>
      <c r="B342" s="154"/>
      <c r="C342" s="179"/>
      <c r="F342" s="124" t="s">
        <v>490</v>
      </c>
      <c r="G342" s="124" t="s">
        <v>490</v>
      </c>
    </row>
    <row r="343" spans="1:7" ht="25.5" thickTop="1" thickBot="1" x14ac:dyDescent="0.5">
      <c r="A343" s="229"/>
      <c r="B343" s="236" t="str">
        <f>IF(B339="","",IF(B339="Proceed below to confirm details and complete Entry Form","Please confirm that the details entered into the Entry Form are correct",IF(OR(AND(B339="Choose provider from the list",C339&lt;&gt;"",C339&lt;&gt;"PROVIDER NOT LISTED",C341&lt;&gt;""),AND(B339="Choose provider from the list",C339="PROVIDER NOT LISTED",C340&lt;&gt;"",C341&lt;&gt;"")),"Is another domestic provider required?","")))</f>
        <v/>
      </c>
      <c r="C343" s="113"/>
      <c r="D343" s="123" t="str">
        <f>IF(OR(B344="Please select 'Yes' or 'No' from the drop down list",B344="Please select 'I confirm' or 'I do not confirm' from the drop down list"),"E","")</f>
        <v/>
      </c>
      <c r="E343" s="123" t="str">
        <f>IF(B343="Is another domestic provider required?","E",IF(B343="Please confirm that the details entered into the Entry Form are correct","B",""))</f>
        <v/>
      </c>
      <c r="F343" s="124" t="s">
        <v>612</v>
      </c>
      <c r="G343" s="124" t="s">
        <v>607</v>
      </c>
    </row>
    <row r="344" spans="1:7" ht="25.5" thickTop="1" thickBot="1" x14ac:dyDescent="0.5">
      <c r="A344" s="234" t="str">
        <f>IF(AND(B344="Choose provider from the list",C343="Yes"),"Domestic Provider "&amp;(ROW()-ROW(A$154))/5,"")</f>
        <v/>
      </c>
      <c r="B344" s="183" t="str">
        <f>IF($B$158&lt;&gt;"Proceed below","",IF(ISNUMBER(MATCH("Proceed below to confirm details and complete Entry Form",$B$163:B338,0)),"",IF(AND(B339&lt;&gt;"Choose provider from the list",B339&lt;&gt;"Proceed below to confirm details and complete Entry Form"),"",IF(AND(B343="Please confirm that the details entered into the Entry Form are correct",C343&lt;&gt;"I confirm",C343&lt;&gt;"I do not confirm"),"Please select 'I confirm' or 'I do not confirm' from the drop down list",IF(AND(B343="Please confirm that the details entered into the Entry Form are correct",OR(C343="I confirm",C343="I do not confirm")),"",IF(AND(B343="Is another domestic provider required?",C343&lt;&gt;"Yes",C343&lt;&gt;"No"),"Please select 'Yes' or 'No' from the drop down list",IF(AND(B343="Is another domestic provider required?",OR(C343="Yes",C343="No"),C339=""),"WAIT: you must select a provider from the list",IF(AND(B343="Is another domestic provider required?",OR(C343="Yes",C343="No"),C339="PROVIDER NOT LISTED",C340=""),"WAIT: You must enter a provider name",IF(AND(B343="Is another domestic provider required?",OR(C343="Yes",C343="No"),NOT(ISNUMBER(MATCH(C339,H,0)))),"WAIT: You must select a provider from the list or select 'PROVIDER NOT LISTED'",IF(AND(B343="Is another domestic provider required?",OR(C343="Yes",C343="No"),C341=""),"WAIT: you must enter an expenditure value",IF(AND(B343="Is another domestic provider required?",OR(C343="Yes",C343="No"),NOT(ISNUMBER(C341))),"WAIT: you must enter numbers only",IF(AND(B343="Is another domestic provider required?",OR(C343="Yes",C343="No"),INT(C341)&lt;&gt;C341),"WAIT: you must enter a whole dollar amount",IF(AND(B343="Is another domestic provider required?",OR(C343="Yes",C343="No"),C341=0),"WAIT: expenditure value cannot be 0",IF(AND(B343="Is another domestic provider required?",OR(C343="Yes",C343="No"),C341&lt;0),"WAIT: expenditure value cannot be negative",IF(OR(AND(B343="Is another domestic provider required?",OR(C343="Yes",C343="No"),B340="",ISNUMBER(MATCH(C339,$C$163:C338,0))),AND(B343="Is another domestic provider required?",OR(C343="Yes",C343="No"),B340="Type provider name manually",ISNUMBER(MATCH(C340,$C$163:C338,0)))),"WAIT: cannot enter same provider twice",IF(AND($B$158="Proceed below",B343="Is another domestic provider required?",C343="Yes"),"Choose provider from the list",IF(AND(B343="Is another domestic provider required?",C343="No"),"Proceed below to confirm details and complete Entry Form","")))))))))))))))))</f>
        <v/>
      </c>
      <c r="C344" s="240"/>
      <c r="D344" s="123" t="str">
        <f>IF(B344&lt;&gt;"Choose provider from the list","",IF(AND(B348&lt;&gt;"Is another domestic provider required?",C344=""),"E",IF(AND(B348&lt;&gt;"Is another domestic provider required?",C344&lt;&gt;""),"",IF(AND(OR(C348="Yes",C348="No"),NOT(ISNUMBER(MATCH(C344,H,0)))),"D",IF(AND(OR(C348="Yes",C348="No"),B345="",ISNUMBER(MATCH(C344,$C$163:C343,0))),"D",IF(AND(OR(C348="Yes",C348="No"),C344&lt;&gt;""),"C",IF(AND(OR(C348="Yes",C348="No"),C344=""),"D","")))))))</f>
        <v/>
      </c>
      <c r="E344" s="123" t="str">
        <f>IF(B344="Choose provider from the list","H","")</f>
        <v/>
      </c>
      <c r="F344" s="124" t="s">
        <v>612</v>
      </c>
      <c r="G344" s="124" t="s">
        <v>610</v>
      </c>
    </row>
    <row r="345" spans="1:7" ht="25.5" thickTop="1" thickBot="1" x14ac:dyDescent="0.5">
      <c r="A345" s="229"/>
      <c r="B345" s="183" t="str">
        <f>IF(B344&lt;&gt;"Choose provider from the list","",IF(C344&lt;&gt;"PROVIDER NOT LISTED","","Type provider name manually"))</f>
        <v/>
      </c>
      <c r="C345" s="240"/>
      <c r="D345" s="123" t="str">
        <f>IF(B344&lt;&gt;"Choose provider from the list","",IF(B345&lt;&gt;"Type provider name manually","",IF(AND(B345="Type provider name manually",C345=""),"E",IF(AND(B345="Type provider name manually",C345&lt;&gt;"",C348=""),"",IF(AND(B348="Is another domestic provider required?",C348&lt;&gt;"",C345&lt;&gt;"",ISNUMBER(MATCH(C345,$C$163:C343,0))),"D",IF(AND(B348="Is another domestic provider required?",C348&lt;&gt;"",C345&lt;&gt;"",NOT(ISNUMBER(MATCH(C345,$C$163:C343,0)))),"C",""))))))</f>
        <v/>
      </c>
      <c r="F345" s="124" t="s">
        <v>612</v>
      </c>
      <c r="G345" s="124" t="s">
        <v>490</v>
      </c>
    </row>
    <row r="346" spans="1:7" ht="25.5" thickTop="1" thickBot="1" x14ac:dyDescent="0.5">
      <c r="A346" s="229"/>
      <c r="B346" s="183" t="str">
        <f>IF(B339="","",IF(B344="Choose provider from the list","Total value of expenditure",IF(AND(B339="Proceed below to confirm details and complete Entry Form",C343="I do not confirm"),"Please revise entries or contact OLSC for assistance",IF(AND(B339="Proceed below to confirm details and complete Entry Form",C343="I confirm"),"Entry Form complete - proceed to Summary sheet",""))))</f>
        <v/>
      </c>
      <c r="C346" s="114"/>
      <c r="D346" s="123" t="str">
        <f>IF(B344&lt;&gt;"Choose provider from the list","",IF(OR(AND(B348&lt;&gt;"Is another domestic provider required?",C344&lt;&gt;"",C344&lt;&gt;"PROVIDER NOT LISTED"),AND(B348&lt;&gt;"Is another domestic provider required?",C344="PROVIDER NOT LISTED",C345&lt;&gt;"")),"E",IF(AND(B348&lt;&gt;"Is another domestic provider required?",C341&lt;&gt;""),"",IF(AND(C348&lt;&gt;"Yes",C348&lt;&gt;"No"),"",IF(NOT(ISNUMBER(C346)),"D",IF(AND(INT(C346)=C346,C346&lt;&gt;"",C346&gt;0),"C","D"))))))</f>
        <v/>
      </c>
      <c r="F346" s="124" t="s">
        <v>612</v>
      </c>
      <c r="G346" s="124" t="s">
        <v>490</v>
      </c>
    </row>
    <row r="347" spans="1:7" ht="25.5" thickTop="1" thickBot="1" x14ac:dyDescent="0.5">
      <c r="A347" s="229"/>
      <c r="B347" s="154"/>
      <c r="C347" s="179"/>
      <c r="F347" s="124" t="s">
        <v>490</v>
      </c>
      <c r="G347" s="124" t="s">
        <v>490</v>
      </c>
    </row>
    <row r="348" spans="1:7" ht="25.5" thickTop="1" thickBot="1" x14ac:dyDescent="0.5">
      <c r="A348" s="229"/>
      <c r="B348" s="236" t="str">
        <f>IF(B344="","",IF(B344="Proceed below to confirm details and complete Entry Form","Please confirm that the details entered into the Entry Form are correct",IF(OR(AND(B344="Choose provider from the list",C344&lt;&gt;"",C344&lt;&gt;"PROVIDER NOT LISTED",C346&lt;&gt;""),AND(B344="Choose provider from the list",C344="PROVIDER NOT LISTED",C345&lt;&gt;"",C346&lt;&gt;"")),"Is another domestic provider required?","")))</f>
        <v/>
      </c>
      <c r="C348" s="113"/>
      <c r="D348" s="123" t="str">
        <f>IF(OR(B349="Please select 'Yes' or 'No' from the drop down list",B349="Please select 'I confirm' or 'I do not confirm' from the drop down list"),"E","")</f>
        <v/>
      </c>
      <c r="E348" s="123" t="str">
        <f>IF(B348="Is another domestic provider required?","E",IF(B348="Please confirm that the details entered into the Entry Form are correct","B",""))</f>
        <v/>
      </c>
      <c r="F348" s="124" t="s">
        <v>612</v>
      </c>
      <c r="G348" s="124" t="s">
        <v>607</v>
      </c>
    </row>
    <row r="349" spans="1:7" ht="25.5" thickTop="1" thickBot="1" x14ac:dyDescent="0.5">
      <c r="A349" s="234" t="str">
        <f>IF(AND(B349="Choose provider from the list",C348="Yes"),"Domestic Provider "&amp;(ROW()-ROW(A$154))/5,"")</f>
        <v/>
      </c>
      <c r="B349" s="183" t="str">
        <f>IF($B$158&lt;&gt;"Proceed below","",IF(ISNUMBER(MATCH("Proceed below to confirm details and complete Entry Form",$B$163:B343,0)),"",IF(AND(B344&lt;&gt;"Choose provider from the list",B344&lt;&gt;"Proceed below to confirm details and complete Entry Form"),"",IF(AND(B348="Please confirm that the details entered into the Entry Form are correct",C348&lt;&gt;"I confirm",C348&lt;&gt;"I do not confirm"),"Please select 'I confirm' or 'I do not confirm' from the drop down list",IF(AND(B348="Please confirm that the details entered into the Entry Form are correct",OR(C348="I confirm",C348="I do not confirm")),"",IF(AND(B348="Is another domestic provider required?",C348&lt;&gt;"Yes",C348&lt;&gt;"No"),"Please select 'Yes' or 'No' from the drop down list",IF(AND(B348="Is another domestic provider required?",OR(C348="Yes",C348="No"),C344=""),"WAIT: you must select a provider from the list",IF(AND(B348="Is another domestic provider required?",OR(C348="Yes",C348="No"),C344="PROVIDER NOT LISTED",C345=""),"WAIT: You must enter a provider name",IF(AND(B348="Is another domestic provider required?",OR(C348="Yes",C348="No"),NOT(ISNUMBER(MATCH(C344,H,0)))),"WAIT: You must select a provider from the list or select 'PROVIDER NOT LISTED'",IF(AND(B348="Is another domestic provider required?",OR(C348="Yes",C348="No"),C346=""),"WAIT: you must enter an expenditure value",IF(AND(B348="Is another domestic provider required?",OR(C348="Yes",C348="No"),NOT(ISNUMBER(C346))),"WAIT: you must enter numbers only",IF(AND(B348="Is another domestic provider required?",OR(C348="Yes",C348="No"),INT(C346)&lt;&gt;C346),"WAIT: you must enter a whole dollar amount",IF(AND(B348="Is another domestic provider required?",OR(C348="Yes",C348="No"),C346=0),"WAIT: expenditure value cannot be 0",IF(AND(B348="Is another domestic provider required?",OR(C348="Yes",C348="No"),C346&lt;0),"WAIT: expenditure value cannot be negative",IF(OR(AND(B348="Is another domestic provider required?",OR(C348="Yes",C348="No"),B345="",ISNUMBER(MATCH(C344,$C$163:C343,0))),AND(B348="Is another domestic provider required?",OR(C348="Yes",C348="No"),B345="Type provider name manually",ISNUMBER(MATCH(C345,$C$163:C343,0)))),"WAIT: cannot enter same provider twice",IF(AND($B$158="Proceed below",B348="Is another domestic provider required?",C348="Yes"),"Choose provider from the list",IF(AND(B348="Is another domestic provider required?",C348="No"),"Proceed below to confirm details and complete Entry Form","")))))))))))))))))</f>
        <v/>
      </c>
      <c r="C349" s="240"/>
      <c r="D349" s="123" t="str">
        <f>IF(B349&lt;&gt;"Choose provider from the list","",IF(AND(B353&lt;&gt;"Is another domestic provider required?",C349=""),"E",IF(AND(B353&lt;&gt;"Is another domestic provider required?",C349&lt;&gt;""),"",IF(AND(OR(C353="Yes",C353="No"),NOT(ISNUMBER(MATCH(C349,H,0)))),"D",IF(AND(OR(C353="Yes",C353="No"),B350="",ISNUMBER(MATCH(C349,$C$163:C348,0))),"D",IF(AND(OR(C353="Yes",C353="No"),C349&lt;&gt;""),"C",IF(AND(OR(C353="Yes",C353="No"),C349=""),"D","")))))))</f>
        <v/>
      </c>
      <c r="E349" s="123" t="str">
        <f>IF(B349="Choose provider from the list","H","")</f>
        <v/>
      </c>
      <c r="F349" s="124" t="s">
        <v>612</v>
      </c>
      <c r="G349" s="124" t="s">
        <v>610</v>
      </c>
    </row>
    <row r="350" spans="1:7" ht="25.5" thickTop="1" thickBot="1" x14ac:dyDescent="0.5">
      <c r="A350" s="229"/>
      <c r="B350" s="183" t="str">
        <f>IF(B349&lt;&gt;"Choose provider from the list","",IF(C349&lt;&gt;"PROVIDER NOT LISTED","","Type provider name manually"))</f>
        <v/>
      </c>
      <c r="C350" s="240"/>
      <c r="D350" s="123" t="str">
        <f>IF(B349&lt;&gt;"Choose provider from the list","",IF(B350&lt;&gt;"Type provider name manually","",IF(AND(B350="Type provider name manually",C350=""),"E",IF(AND(B350="Type provider name manually",C350&lt;&gt;"",C353=""),"",IF(AND(B353="Is another domestic provider required?",C353&lt;&gt;"",C350&lt;&gt;"",ISNUMBER(MATCH(C350,$C$163:C348,0))),"D",IF(AND(B353="Is another domestic provider required?",C353&lt;&gt;"",C350&lt;&gt;"",NOT(ISNUMBER(MATCH(C350,$C$163:C348,0)))),"C",""))))))</f>
        <v/>
      </c>
      <c r="F350" s="124" t="s">
        <v>612</v>
      </c>
      <c r="G350" s="124" t="s">
        <v>490</v>
      </c>
    </row>
    <row r="351" spans="1:7" ht="25.5" thickTop="1" thickBot="1" x14ac:dyDescent="0.5">
      <c r="A351" s="229"/>
      <c r="B351" s="183" t="str">
        <f>IF(B344="","",IF(B349="Choose provider from the list","Total value of expenditure",IF(AND(B344="Proceed below to confirm details and complete Entry Form",C348="I do not confirm"),"Please revise entries or contact OLSC for assistance",IF(AND(B344="Proceed below to confirm details and complete Entry Form",C348="I confirm"),"Entry Form complete - proceed to Summary sheet",""))))</f>
        <v/>
      </c>
      <c r="C351" s="114"/>
      <c r="D351" s="123" t="str">
        <f>IF(B349&lt;&gt;"Choose provider from the list","",IF(OR(AND(B353&lt;&gt;"Is another domestic provider required?",C349&lt;&gt;"",C349&lt;&gt;"PROVIDER NOT LISTED"),AND(B353&lt;&gt;"Is another domestic provider required?",C349="PROVIDER NOT LISTED",C350&lt;&gt;"")),"E",IF(AND(B353&lt;&gt;"Is another domestic provider required?",C346&lt;&gt;""),"",IF(AND(C353&lt;&gt;"Yes",C353&lt;&gt;"No"),"",IF(NOT(ISNUMBER(C351)),"D",IF(AND(INT(C351)=C351,C351&lt;&gt;"",C351&gt;0),"C","D"))))))</f>
        <v/>
      </c>
      <c r="F351" s="124" t="s">
        <v>612</v>
      </c>
      <c r="G351" s="124" t="s">
        <v>490</v>
      </c>
    </row>
    <row r="352" spans="1:7" ht="25.5" thickTop="1" thickBot="1" x14ac:dyDescent="0.5">
      <c r="A352" s="229"/>
      <c r="B352" s="154"/>
      <c r="C352" s="179"/>
      <c r="F352" s="124" t="s">
        <v>490</v>
      </c>
      <c r="G352" s="124" t="s">
        <v>490</v>
      </c>
    </row>
    <row r="353" spans="1:7" ht="25.5" thickTop="1" thickBot="1" x14ac:dyDescent="0.5">
      <c r="A353" s="229"/>
      <c r="B353" s="236" t="str">
        <f>IF(B349="","",IF(B349="Proceed below to confirm details and complete Entry Form","Please confirm that the details entered into the Entry Form are correct",IF(OR(AND(B349="Choose provider from the list",C349&lt;&gt;"",C349&lt;&gt;"PROVIDER NOT LISTED",C351&lt;&gt;""),AND(B349="Choose provider from the list",C349="PROVIDER NOT LISTED",C350&lt;&gt;"",C351&lt;&gt;"")),"Is another domestic provider required?","")))</f>
        <v/>
      </c>
      <c r="C353" s="113"/>
      <c r="D353" s="123" t="str">
        <f>IF(OR(B354="Please select 'Yes' or 'No' from the drop down list",B354="Please select 'I confirm' or 'I do not confirm' from the drop down list"),"E","")</f>
        <v/>
      </c>
      <c r="E353" s="123" t="str">
        <f>IF(B353="Is another domestic provider required?","E",IF(B353="Please confirm that the details entered into the Entry Form are correct","B",""))</f>
        <v/>
      </c>
      <c r="F353" s="124" t="s">
        <v>612</v>
      </c>
      <c r="G353" s="124" t="s">
        <v>607</v>
      </c>
    </row>
    <row r="354" spans="1:7" ht="25.5" thickTop="1" thickBot="1" x14ac:dyDescent="0.5">
      <c r="A354" s="234" t="str">
        <f>IF(AND(B354="Choose provider from the list",C353="Yes"),"Domestic Provider "&amp;(ROW()-ROW(A$154))/5,"")</f>
        <v/>
      </c>
      <c r="B354" s="183" t="str">
        <f>IF($B$158&lt;&gt;"Proceed below","",IF(ISNUMBER(MATCH("Proceed below to confirm details and complete Entry Form",$B$163:B348,0)),"",IF(AND(B349&lt;&gt;"Choose provider from the list",B349&lt;&gt;"Proceed below to confirm details and complete Entry Form"),"",IF(AND(B353="Please confirm that the details entered into the Entry Form are correct",C353&lt;&gt;"I confirm",C353&lt;&gt;"I do not confirm"),"Please select 'I confirm' or 'I do not confirm' from the drop down list",IF(AND(B353="Please confirm that the details entered into the Entry Form are correct",OR(C353="I confirm",C353="I do not confirm")),"",IF(AND(B353="Is another domestic provider required?",C353&lt;&gt;"Yes",C353&lt;&gt;"No"),"Please select 'Yes' or 'No' from the drop down list",IF(AND(B353="Is another domestic provider required?",OR(C353="Yes",C353="No"),C349=""),"WAIT: you must select a provider from the list",IF(AND(B353="Is another domestic provider required?",OR(C353="Yes",C353="No"),C349="PROVIDER NOT LISTED",C350=""),"WAIT: You must enter a provider name",IF(AND(B353="Is another domestic provider required?",OR(C353="Yes",C353="No"),NOT(ISNUMBER(MATCH(C349,H,0)))),"WAIT: You must select a provider from the list or select 'PROVIDER NOT LISTED'",IF(AND(B353="Is another domestic provider required?",OR(C353="Yes",C353="No"),C351=""),"WAIT: you must enter an expenditure value",IF(AND(B353="Is another domestic provider required?",OR(C353="Yes",C353="No"),NOT(ISNUMBER(C351))),"WAIT: you must enter numbers only",IF(AND(B353="Is another domestic provider required?",OR(C353="Yes",C353="No"),INT(C351)&lt;&gt;C351),"WAIT: you must enter a whole dollar amount",IF(AND(B353="Is another domestic provider required?",OR(C353="Yes",C353="No"),C351=0),"WAIT: expenditure value cannot be 0",IF(AND(B353="Is another domestic provider required?",OR(C353="Yes",C353="No"),C351&lt;0),"WAIT: expenditure value cannot be negative",IF(OR(AND(B353="Is another domestic provider required?",OR(C353="Yes",C353="No"),B350="",ISNUMBER(MATCH(C349,$C$163:C348,0))),AND(B353="Is another domestic provider required?",OR(C353="Yes",C353="No"),B350="Type provider name manually",ISNUMBER(MATCH(C350,$C$163:C348,0)))),"WAIT: cannot enter same provider twice",IF(AND($B$158="Proceed below",B353="Is another domestic provider required?",C353="Yes"),"Choose provider from the list",IF(AND(B353="Is another domestic provider required?",C353="No"),"Proceed below to confirm details and complete Entry Form","")))))))))))))))))</f>
        <v/>
      </c>
      <c r="C354" s="240"/>
      <c r="D354" s="123" t="str">
        <f>IF(B354&lt;&gt;"Choose provider from the list","",IF(AND(B358&lt;&gt;"Is another domestic provider required?",C354=""),"E",IF(AND(B358&lt;&gt;"Is another domestic provider required?",C354&lt;&gt;""),"",IF(AND(OR(C358="Yes",C358="No"),NOT(ISNUMBER(MATCH(C354,H,0)))),"D",IF(AND(OR(C358="Yes",C358="No"),B355="",ISNUMBER(MATCH(C354,$C$163:C353,0))),"D",IF(AND(OR(C358="Yes",C358="No"),C354&lt;&gt;""),"C",IF(AND(OR(C358="Yes",C358="No"),C354=""),"D","")))))))</f>
        <v/>
      </c>
      <c r="E354" s="123" t="str">
        <f>IF(B354="Choose provider from the list","H","")</f>
        <v/>
      </c>
      <c r="F354" s="124" t="s">
        <v>612</v>
      </c>
      <c r="G354" s="124" t="s">
        <v>610</v>
      </c>
    </row>
    <row r="355" spans="1:7" ht="25.5" thickTop="1" thickBot="1" x14ac:dyDescent="0.5">
      <c r="A355" s="229"/>
      <c r="B355" s="183" t="str">
        <f>IF(B354&lt;&gt;"Choose provider from the list","",IF(C354&lt;&gt;"PROVIDER NOT LISTED","","Type provider name manually"))</f>
        <v/>
      </c>
      <c r="C355" s="240"/>
      <c r="D355" s="123" t="str">
        <f>IF(B354&lt;&gt;"Choose provider from the list","",IF(B355&lt;&gt;"Type provider name manually","",IF(AND(B355="Type provider name manually",C355=""),"E",IF(AND(B355="Type provider name manually",C355&lt;&gt;"",C358=""),"",IF(AND(B358="Is another domestic provider required?",C358&lt;&gt;"",C355&lt;&gt;"",ISNUMBER(MATCH(C355,$C$163:C353,0))),"D",IF(AND(B358="Is another domestic provider required?",C358&lt;&gt;"",C355&lt;&gt;"",NOT(ISNUMBER(MATCH(C355,$C$163:C353,0)))),"C",""))))))</f>
        <v/>
      </c>
      <c r="F355" s="124" t="s">
        <v>612</v>
      </c>
      <c r="G355" s="124" t="s">
        <v>490</v>
      </c>
    </row>
    <row r="356" spans="1:7" ht="25.5" thickTop="1" thickBot="1" x14ac:dyDescent="0.5">
      <c r="A356" s="229"/>
      <c r="B356" s="183" t="str">
        <f>IF(B349="","",IF(B354="Choose provider from the list","Total value of expenditure",IF(AND(B349="Proceed below to confirm details and complete Entry Form",C353="I do not confirm"),"Please revise entries or contact OLSC for assistance",IF(AND(B349="Proceed below to confirm details and complete Entry Form",C353="I confirm"),"Entry Form complete - proceed to Summary sheet",""))))</f>
        <v/>
      </c>
      <c r="C356" s="114"/>
      <c r="D356" s="123" t="str">
        <f>IF(B354&lt;&gt;"Choose provider from the list","",IF(OR(AND(B358&lt;&gt;"Is another domestic provider required?",C354&lt;&gt;"",C354&lt;&gt;"PROVIDER NOT LISTED"),AND(B358&lt;&gt;"Is another domestic provider required?",C354="PROVIDER NOT LISTED",C355&lt;&gt;"")),"E",IF(AND(B358&lt;&gt;"Is another domestic provider required?",C351&lt;&gt;""),"",IF(AND(C358&lt;&gt;"Yes",C358&lt;&gt;"No"),"",IF(NOT(ISNUMBER(C356)),"D",IF(AND(INT(C356)=C356,C356&lt;&gt;"",C356&gt;0),"C","D"))))))</f>
        <v/>
      </c>
      <c r="F356" s="124" t="s">
        <v>612</v>
      </c>
      <c r="G356" s="124" t="s">
        <v>490</v>
      </c>
    </row>
    <row r="357" spans="1:7" ht="25.5" thickTop="1" thickBot="1" x14ac:dyDescent="0.5">
      <c r="A357" s="229"/>
      <c r="B357" s="154"/>
      <c r="C357" s="179"/>
      <c r="F357" s="124" t="s">
        <v>490</v>
      </c>
      <c r="G357" s="124" t="s">
        <v>490</v>
      </c>
    </row>
    <row r="358" spans="1:7" ht="25.5" thickTop="1" thickBot="1" x14ac:dyDescent="0.5">
      <c r="A358" s="229"/>
      <c r="B358" s="236" t="str">
        <f>IF(B354="","",IF(B354="Proceed below to confirm details and complete Entry Form","Please confirm that the details entered into the Entry Form are correct",IF(OR(AND(B354="Choose provider from the list",C354&lt;&gt;"",C354&lt;&gt;"PROVIDER NOT LISTED",C356&lt;&gt;""),AND(B354="Choose provider from the list",C354="PROVIDER NOT LISTED",C355&lt;&gt;"",C356&lt;&gt;"")),"Is another domestic provider required?","")))</f>
        <v/>
      </c>
      <c r="C358" s="113"/>
      <c r="D358" s="123" t="str">
        <f>IF(OR(B359="Please select 'Yes' or 'No' from the drop down list",B359="Please select 'I confirm' or 'I do not confirm' from the drop down list"),"E","")</f>
        <v/>
      </c>
      <c r="E358" s="123" t="str">
        <f>IF(B358="Is another domestic provider required?","E",IF(B358="Please confirm that the details entered into the Entry Form are correct","B",""))</f>
        <v/>
      </c>
      <c r="F358" s="124" t="s">
        <v>612</v>
      </c>
      <c r="G358" s="124" t="s">
        <v>607</v>
      </c>
    </row>
    <row r="359" spans="1:7" ht="25.5" thickTop="1" thickBot="1" x14ac:dyDescent="0.5">
      <c r="A359" s="234" t="str">
        <f>IF(AND(B359="Choose provider from the list",C358="Yes"),"Domestic Provider "&amp;(ROW()-ROW(A$154))/5,"")</f>
        <v/>
      </c>
      <c r="B359" s="183" t="str">
        <f>IF($B$158&lt;&gt;"Proceed below","",IF(ISNUMBER(MATCH("Proceed below to confirm details and complete Entry Form",$B$163:B353,0)),"",IF(AND(B354&lt;&gt;"Choose provider from the list",B354&lt;&gt;"Proceed below to confirm details and complete Entry Form"),"",IF(AND(B358="Please confirm that the details entered into the Entry Form are correct",C358&lt;&gt;"I confirm",C358&lt;&gt;"I do not confirm"),"Please select 'I confirm' or 'I do not confirm' from the drop down list",IF(AND(B358="Please confirm that the details entered into the Entry Form are correct",OR(C358="I confirm",C358="I do not confirm")),"",IF(AND(B358="Is another domestic provider required?",C358&lt;&gt;"Yes",C358&lt;&gt;"No"),"Please select 'Yes' or 'No' from the drop down list",IF(AND(B358="Is another domestic provider required?",OR(C358="Yes",C358="No"),C354=""),"WAIT: you must select a provider from the list",IF(AND(B358="Is another domestic provider required?",OR(C358="Yes",C358="No"),C354="PROVIDER NOT LISTED",C355=""),"WAIT: You must enter a provider name",IF(AND(B358="Is another domestic provider required?",OR(C358="Yes",C358="No"),NOT(ISNUMBER(MATCH(C354,H,0)))),"WAIT: You must select a provider from the list or select 'PROVIDER NOT LISTED'",IF(AND(B358="Is another domestic provider required?",OR(C358="Yes",C358="No"),C356=""),"WAIT: you must enter an expenditure value",IF(AND(B358="Is another domestic provider required?",OR(C358="Yes",C358="No"),NOT(ISNUMBER(C356))),"WAIT: you must enter numbers only",IF(AND(B358="Is another domestic provider required?",OR(C358="Yes",C358="No"),INT(C356)&lt;&gt;C356),"WAIT: you must enter a whole dollar amount",IF(AND(B358="Is another domestic provider required?",OR(C358="Yes",C358="No"),C356=0),"WAIT: expenditure value cannot be 0",IF(AND(B358="Is another domestic provider required?",OR(C358="Yes",C358="No"),C356&lt;0),"WAIT: expenditure value cannot be negative",IF(OR(AND(B358="Is another domestic provider required?",OR(C358="Yes",C358="No"),B355="",ISNUMBER(MATCH(C354,$C$163:C353,0))),AND(B358="Is another domestic provider required?",OR(C358="Yes",C358="No"),B355="Type provider name manually",ISNUMBER(MATCH(C355,$C$163:C353,0)))),"WAIT: cannot enter same provider twice",IF(AND($B$158="Proceed below",B358="Is another domestic provider required?",C358="Yes"),"Choose provider from the list",IF(AND(B358="Is another domestic provider required?",C358="No"),"Proceed below to confirm details and complete Entry Form","")))))))))))))))))</f>
        <v/>
      </c>
      <c r="C359" s="240"/>
      <c r="D359" s="123" t="str">
        <f>IF(B359&lt;&gt;"Choose provider from the list","",IF(AND(B363&lt;&gt;"Is another domestic provider required?",C359=""),"E",IF(AND(B363&lt;&gt;"Is another domestic provider required?",C359&lt;&gt;""),"",IF(AND(OR(C363="Yes",C363="No"),NOT(ISNUMBER(MATCH(C359,H,0)))),"D",IF(AND(OR(C363="Yes",C363="No"),B360="",ISNUMBER(MATCH(C359,$C$163:C358,0))),"D",IF(AND(OR(C363="Yes",C363="No"),C359&lt;&gt;""),"C",IF(AND(OR(C363="Yes",C363="No"),C359=""),"D","")))))))</f>
        <v/>
      </c>
      <c r="E359" s="123" t="str">
        <f>IF(B359="Choose provider from the list","H","")</f>
        <v/>
      </c>
      <c r="F359" s="124" t="s">
        <v>612</v>
      </c>
      <c r="G359" s="124" t="s">
        <v>610</v>
      </c>
    </row>
    <row r="360" spans="1:7" ht="25.5" thickTop="1" thickBot="1" x14ac:dyDescent="0.5">
      <c r="A360" s="229"/>
      <c r="B360" s="183" t="str">
        <f>IF(B359&lt;&gt;"Choose provider from the list","",IF(C359&lt;&gt;"PROVIDER NOT LISTED","","Type provider name manually"))</f>
        <v/>
      </c>
      <c r="C360" s="240"/>
      <c r="D360" s="123" t="str">
        <f>IF(B359&lt;&gt;"Choose provider from the list","",IF(B360&lt;&gt;"Type provider name manually","",IF(AND(B360="Type provider name manually",C360=""),"E",IF(AND(B360="Type provider name manually",C360&lt;&gt;"",C363=""),"",IF(AND(B363="Is another domestic provider required?",C363&lt;&gt;"",C360&lt;&gt;"",ISNUMBER(MATCH(C360,$C$163:C358,0))),"D",IF(AND(B363="Is another domestic provider required?",C363&lt;&gt;"",C360&lt;&gt;"",NOT(ISNUMBER(MATCH(C360,$C$163:C358,0)))),"C",""))))))</f>
        <v/>
      </c>
      <c r="F360" s="124" t="s">
        <v>612</v>
      </c>
      <c r="G360" s="124" t="s">
        <v>490</v>
      </c>
    </row>
    <row r="361" spans="1:7" ht="25.5" thickTop="1" thickBot="1" x14ac:dyDescent="0.5">
      <c r="A361" s="229"/>
      <c r="B361" s="183" t="str">
        <f>IF(B354="","",IF(B359="Choose provider from the list","Total value of expenditure",IF(AND(B354="Proceed below to confirm details and complete Entry Form",C358="I do not confirm"),"Please revise entries or contact OLSC for assistance",IF(AND(B354="Proceed below to confirm details and complete Entry Form",C358="I confirm"),"Entry Form complete - proceed to Summary sheet",""))))</f>
        <v/>
      </c>
      <c r="C361" s="114"/>
      <c r="D361" s="123" t="str">
        <f>IF(B359&lt;&gt;"Choose provider from the list","",IF(OR(AND(B363&lt;&gt;"Is another domestic provider required?",C359&lt;&gt;"",C359&lt;&gt;"PROVIDER NOT LISTED"),AND(B363&lt;&gt;"Is another domestic provider required?",C359="PROVIDER NOT LISTED",C360&lt;&gt;"")),"E",IF(AND(B363&lt;&gt;"Is another domestic provider required?",C356&lt;&gt;""),"",IF(AND(C363&lt;&gt;"Yes",C363&lt;&gt;"No"),"",IF(NOT(ISNUMBER(C361)),"D",IF(AND(INT(C361)=C361,C361&lt;&gt;"",C361&gt;0),"C","D"))))))</f>
        <v/>
      </c>
      <c r="F361" s="124" t="s">
        <v>612</v>
      </c>
      <c r="G361" s="124" t="s">
        <v>490</v>
      </c>
    </row>
    <row r="362" spans="1:7" ht="25.5" thickTop="1" thickBot="1" x14ac:dyDescent="0.5">
      <c r="A362" s="229"/>
      <c r="B362" s="154"/>
      <c r="C362" s="179"/>
      <c r="F362" s="124" t="s">
        <v>490</v>
      </c>
      <c r="G362" s="124" t="s">
        <v>490</v>
      </c>
    </row>
    <row r="363" spans="1:7" ht="25.5" thickTop="1" thickBot="1" x14ac:dyDescent="0.5">
      <c r="A363" s="229"/>
      <c r="B363" s="236" t="str">
        <f>IF(B359="","",IF(B359="Proceed below to confirm details and complete Entry Form","Please confirm that the details entered into the Entry Form are correct",IF(OR(AND(B359="Choose provider from the list",C359&lt;&gt;"",C359&lt;&gt;"PROVIDER NOT LISTED",C361&lt;&gt;""),AND(B359="Choose provider from the list",C359="PROVIDER NOT LISTED",C360&lt;&gt;"",C361&lt;&gt;"")),"Is another domestic provider required?","")))</f>
        <v/>
      </c>
      <c r="C363" s="113"/>
      <c r="D363" s="123" t="str">
        <f>IF(OR(B364="Please select 'Yes' or 'No' from the drop down list",B364="Please select 'I confirm' or 'I do not confirm' from the drop down list"),"E","")</f>
        <v/>
      </c>
      <c r="E363" s="123" t="str">
        <f>IF(B363="Is another domestic provider required?","E",IF(B363="Please confirm that the details entered into the Entry Form are correct","B",""))</f>
        <v/>
      </c>
      <c r="F363" s="124" t="s">
        <v>612</v>
      </c>
      <c r="G363" s="124" t="s">
        <v>607</v>
      </c>
    </row>
    <row r="364" spans="1:7" ht="25.5" thickTop="1" thickBot="1" x14ac:dyDescent="0.5">
      <c r="A364" s="234" t="str">
        <f>IF(AND(B364="Choose provider from the list",C363="Yes"),"Domestic Provider "&amp;(ROW()-ROW(A$154))/5,"")</f>
        <v/>
      </c>
      <c r="B364" s="183" t="str">
        <f>IF($B$158&lt;&gt;"Proceed below","",IF(ISNUMBER(MATCH("Proceed below to confirm details and complete Entry Form",$B$163:B358,0)),"",IF(AND(B359&lt;&gt;"Choose provider from the list",B359&lt;&gt;"Proceed below to confirm details and complete Entry Form"),"",IF(AND(B363="Please confirm that the details entered into the Entry Form are correct",C363&lt;&gt;"I confirm",C363&lt;&gt;"I do not confirm"),"Please select 'I confirm' or 'I do not confirm' from the drop down list",IF(AND(B363="Please confirm that the details entered into the Entry Form are correct",OR(C363="I confirm",C363="I do not confirm")),"",IF(AND(B363="Is another domestic provider required?",C363&lt;&gt;"Yes",C363&lt;&gt;"No"),"Please select 'Yes' or 'No' from the drop down list",IF(AND(B363="Is another domestic provider required?",OR(C363="Yes",C363="No"),C359=""),"WAIT: you must select a provider from the list",IF(AND(B363="Is another domestic provider required?",OR(C363="Yes",C363="No"),C359="PROVIDER NOT LISTED",C360=""),"WAIT: You must enter a provider name",IF(AND(B363="Is another domestic provider required?",OR(C363="Yes",C363="No"),NOT(ISNUMBER(MATCH(C359,H,0)))),"WAIT: You must select a provider from the list or select 'PROVIDER NOT LISTED'",IF(AND(B363="Is another domestic provider required?",OR(C363="Yes",C363="No"),C361=""),"WAIT: you must enter an expenditure value",IF(AND(B363="Is another domestic provider required?",OR(C363="Yes",C363="No"),NOT(ISNUMBER(C361))),"WAIT: you must enter numbers only",IF(AND(B363="Is another domestic provider required?",OR(C363="Yes",C363="No"),INT(C361)&lt;&gt;C361),"WAIT: you must enter a whole dollar amount",IF(AND(B363="Is another domestic provider required?",OR(C363="Yes",C363="No"),C361=0),"WAIT: expenditure value cannot be 0",IF(AND(B363="Is another domestic provider required?",OR(C363="Yes",C363="No"),C361&lt;0),"WAIT: expenditure value cannot be negative",IF(OR(AND(B363="Is another domestic provider required?",OR(C363="Yes",C363="No"),B360="",ISNUMBER(MATCH(C359,$C$163:C358,0))),AND(B363="Is another domestic provider required?",OR(C363="Yes",C363="No"),B360="Type provider name manually",ISNUMBER(MATCH(C360,$C$163:C358,0)))),"WAIT: cannot enter same provider twice",IF(AND($B$158="Proceed below",B363="Is another domestic provider required?",C363="Yes"),"Choose provider from the list",IF(AND(B363="Is another domestic provider required?",C363="No"),"Proceed below to confirm details and complete Entry Form","")))))))))))))))))</f>
        <v/>
      </c>
      <c r="C364" s="240"/>
      <c r="D364" s="123" t="str">
        <f>IF(B364&lt;&gt;"Choose provider from the list","",IF(AND(B368&lt;&gt;"Is another domestic provider required?",C364=""),"E",IF(AND(B368&lt;&gt;"Is another domestic provider required?",C364&lt;&gt;""),"",IF(AND(OR(C368="Yes",C368="No"),NOT(ISNUMBER(MATCH(C364,H,0)))),"D",IF(AND(OR(C368="Yes",C368="No"),B365="",ISNUMBER(MATCH(C364,$C$163:C363,0))),"D",IF(AND(OR(C368="Yes",C368="No"),C364&lt;&gt;""),"C",IF(AND(OR(C368="Yes",C368="No"),C364=""),"D","")))))))</f>
        <v/>
      </c>
      <c r="E364" s="123" t="str">
        <f>IF(B364="Choose provider from the list","H","")</f>
        <v/>
      </c>
      <c r="F364" s="124" t="s">
        <v>612</v>
      </c>
      <c r="G364" s="124" t="s">
        <v>610</v>
      </c>
    </row>
    <row r="365" spans="1:7" ht="25.5" thickTop="1" thickBot="1" x14ac:dyDescent="0.5">
      <c r="A365" s="229"/>
      <c r="B365" s="183" t="str">
        <f>IF(B364&lt;&gt;"Choose provider from the list","",IF(C364&lt;&gt;"PROVIDER NOT LISTED","","Type provider name manually"))</f>
        <v/>
      </c>
      <c r="C365" s="240"/>
      <c r="D365" s="123" t="str">
        <f>IF(B364&lt;&gt;"Choose provider from the list","",IF(B365&lt;&gt;"Type provider name manually","",IF(AND(B365="Type provider name manually",C365=""),"E",IF(AND(B365="Type provider name manually",C365&lt;&gt;"",C368=""),"",IF(AND(B368="Is another domestic provider required?",C368&lt;&gt;"",C365&lt;&gt;"",ISNUMBER(MATCH(C365,$C$163:C363,0))),"D",IF(AND(B368="Is another domestic provider required?",C368&lt;&gt;"",C365&lt;&gt;"",NOT(ISNUMBER(MATCH(C365,$C$163:C363,0)))),"C",""))))))</f>
        <v/>
      </c>
      <c r="F365" s="124" t="s">
        <v>612</v>
      </c>
      <c r="G365" s="124" t="s">
        <v>490</v>
      </c>
    </row>
    <row r="366" spans="1:7" ht="25.5" thickTop="1" thickBot="1" x14ac:dyDescent="0.5">
      <c r="A366" s="229"/>
      <c r="B366" s="183" t="str">
        <f>IF(B359="","",IF(B364="Choose provider from the list","Total value of expenditure",IF(AND(B359="Proceed below to confirm details and complete Entry Form",C363="I do not confirm"),"Please revise entries or contact OLSC for assistance",IF(AND(B359="Proceed below to confirm details and complete Entry Form",C363="I confirm"),"Entry Form complete - proceed to Summary sheet",""))))</f>
        <v/>
      </c>
      <c r="C366" s="114"/>
      <c r="D366" s="123" t="str">
        <f>IF(B364&lt;&gt;"Choose provider from the list","",IF(OR(AND(B368&lt;&gt;"Is another domestic provider required?",C364&lt;&gt;"",C364&lt;&gt;"PROVIDER NOT LISTED"),AND(B368&lt;&gt;"Is another domestic provider required?",C364="PROVIDER NOT LISTED",C365&lt;&gt;"")),"E",IF(AND(B368&lt;&gt;"Is another domestic provider required?",C361&lt;&gt;""),"",IF(AND(C368&lt;&gt;"Yes",C368&lt;&gt;"No"),"",IF(NOT(ISNUMBER(C366)),"D",IF(AND(INT(C366)=C366,C366&lt;&gt;"",C366&gt;0),"C","D"))))))</f>
        <v/>
      </c>
      <c r="F366" s="124" t="s">
        <v>612</v>
      </c>
      <c r="G366" s="124" t="s">
        <v>490</v>
      </c>
    </row>
    <row r="367" spans="1:7" ht="25.5" thickTop="1" thickBot="1" x14ac:dyDescent="0.5">
      <c r="A367" s="229"/>
      <c r="B367" s="154"/>
      <c r="C367" s="179"/>
      <c r="F367" s="124" t="s">
        <v>490</v>
      </c>
      <c r="G367" s="124" t="s">
        <v>490</v>
      </c>
    </row>
    <row r="368" spans="1:7" ht="25.5" thickTop="1" thickBot="1" x14ac:dyDescent="0.5">
      <c r="A368" s="229"/>
      <c r="B368" s="236" t="str">
        <f>IF(B364="","",IF(B364="Proceed below to confirm details and complete Entry Form","Please confirm that the details entered into the Entry Form are correct",IF(OR(AND(B364="Choose provider from the list",C364&lt;&gt;"",C364&lt;&gt;"PROVIDER NOT LISTED",C366&lt;&gt;""),AND(B364="Choose provider from the list",C364="PROVIDER NOT LISTED",C365&lt;&gt;"",C366&lt;&gt;"")),"Is another domestic provider required?","")))</f>
        <v/>
      </c>
      <c r="C368" s="113"/>
      <c r="D368" s="123" t="str">
        <f>IF(OR(B369="Please select 'Yes' or 'No' from the drop down list",B369="Please select 'I confirm' or 'I do not confirm' from the drop down list"),"E","")</f>
        <v/>
      </c>
      <c r="E368" s="123" t="str">
        <f>IF(B368="Is another domestic provider required?","E",IF(B368="Please confirm that the details entered into the Entry Form are correct","B",""))</f>
        <v/>
      </c>
      <c r="F368" s="124" t="s">
        <v>612</v>
      </c>
      <c r="G368" s="124" t="s">
        <v>607</v>
      </c>
    </row>
    <row r="369" spans="1:7" ht="25.5" thickTop="1" thickBot="1" x14ac:dyDescent="0.5">
      <c r="A369" s="234" t="str">
        <f>IF(AND(B369="Choose provider from the list",C368="Yes"),"Domestic Provider "&amp;(ROW()-ROW(A$154))/5,"")</f>
        <v/>
      </c>
      <c r="B369" s="183" t="str">
        <f>IF($B$158&lt;&gt;"Proceed below","",IF(ISNUMBER(MATCH("Proceed below to confirm details and complete Entry Form",$B$163:B363,0)),"",IF(AND(B364&lt;&gt;"Choose provider from the list",B364&lt;&gt;"Proceed below to confirm details and complete Entry Form"),"",IF(AND(B368="Please confirm that the details entered into the Entry Form are correct",C368&lt;&gt;"I confirm",C368&lt;&gt;"I do not confirm"),"Please select 'I confirm' or 'I do not confirm' from the drop down list",IF(AND(B368="Please confirm that the details entered into the Entry Form are correct",OR(C368="I confirm",C368="I do not confirm")),"",IF(AND(B368="Is another domestic provider required?",C368&lt;&gt;"Yes",C368&lt;&gt;"No"),"Please select 'Yes' or 'No' from the drop down list",IF(AND(B368="Is another domestic provider required?",OR(C368="Yes",C368="No"),C364=""),"WAIT: you must select a provider from the list",IF(AND(B368="Is another domestic provider required?",OR(C368="Yes",C368="No"),C364="PROVIDER NOT LISTED",C365=""),"WAIT: You must enter a provider name",IF(AND(B368="Is another domestic provider required?",OR(C368="Yes",C368="No"),NOT(ISNUMBER(MATCH(C364,H,0)))),"WAIT: You must select a provider from the list or select 'PROVIDER NOT LISTED'",IF(AND(B368="Is another domestic provider required?",OR(C368="Yes",C368="No"),C366=""),"WAIT: you must enter an expenditure value",IF(AND(B368="Is another domestic provider required?",OR(C368="Yes",C368="No"),NOT(ISNUMBER(C366))),"WAIT: you must enter numbers only",IF(AND(B368="Is another domestic provider required?",OR(C368="Yes",C368="No"),INT(C366)&lt;&gt;C366),"WAIT: you must enter a whole dollar amount",IF(AND(B368="Is another domestic provider required?",OR(C368="Yes",C368="No"),C366=0),"WAIT: expenditure value cannot be 0",IF(AND(B368="Is another domestic provider required?",OR(C368="Yes",C368="No"),C366&lt;0),"WAIT: expenditure value cannot be negative",IF(OR(AND(B368="Is another domestic provider required?",OR(C368="Yes",C368="No"),B365="",ISNUMBER(MATCH(C364,$C$163:C363,0))),AND(B368="Is another domestic provider required?",OR(C368="Yes",C368="No"),B365="Type provider name manually",ISNUMBER(MATCH(C365,$C$163:C363,0)))),"WAIT: cannot enter same provider twice",IF(AND($B$158="Proceed below",B368="Is another domestic provider required?",C368="Yes"),"Choose provider from the list",IF(AND(B368="Is another domestic provider required?",C368="No"),"Proceed below to confirm details and complete Entry Form","")))))))))))))))))</f>
        <v/>
      </c>
      <c r="C369" s="240"/>
      <c r="D369" s="123" t="str">
        <f>IF(B369&lt;&gt;"Choose provider from the list","",IF(AND(B373&lt;&gt;"Is another domestic provider required?",C369=""),"E",IF(AND(B373&lt;&gt;"Is another domestic provider required?",C369&lt;&gt;""),"",IF(AND(OR(C373="Yes",C373="No"),NOT(ISNUMBER(MATCH(C369,H,0)))),"D",IF(AND(OR(C373="Yes",C373="No"),B370="",ISNUMBER(MATCH(C369,$C$163:C368,0))),"D",IF(AND(OR(C373="Yes",C373="No"),C369&lt;&gt;""),"C",IF(AND(OR(C373="Yes",C373="No"),C369=""),"D","")))))))</f>
        <v/>
      </c>
      <c r="E369" s="123" t="str">
        <f>IF(B369="Choose provider from the list","H","")</f>
        <v/>
      </c>
      <c r="F369" s="124" t="s">
        <v>612</v>
      </c>
      <c r="G369" s="124" t="s">
        <v>610</v>
      </c>
    </row>
    <row r="370" spans="1:7" ht="25.5" thickTop="1" thickBot="1" x14ac:dyDescent="0.5">
      <c r="A370" s="229"/>
      <c r="B370" s="183" t="str">
        <f>IF(B369&lt;&gt;"Choose provider from the list","",IF(C369&lt;&gt;"PROVIDER NOT LISTED","","Type provider name manually"))</f>
        <v/>
      </c>
      <c r="C370" s="240"/>
      <c r="D370" s="123" t="str">
        <f>IF(B369&lt;&gt;"Choose provider from the list","",IF(B370&lt;&gt;"Type provider name manually","",IF(AND(B370="Type provider name manually",C370=""),"E",IF(AND(B370="Type provider name manually",C370&lt;&gt;"",C373=""),"",IF(AND(B373="Is another domestic provider required?",C373&lt;&gt;"",C370&lt;&gt;"",ISNUMBER(MATCH(C370,$C$163:C368,0))),"D",IF(AND(B373="Is another domestic provider required?",C373&lt;&gt;"",C370&lt;&gt;"",NOT(ISNUMBER(MATCH(C370,$C$163:C368,0)))),"C",""))))))</f>
        <v/>
      </c>
      <c r="F370" s="124" t="s">
        <v>612</v>
      </c>
      <c r="G370" s="124" t="s">
        <v>490</v>
      </c>
    </row>
    <row r="371" spans="1:7" ht="25.5" thickTop="1" thickBot="1" x14ac:dyDescent="0.5">
      <c r="A371" s="229"/>
      <c r="B371" s="183" t="str">
        <f>IF(B364="","",IF(B369="Choose provider from the list","Total value of expenditure",IF(AND(B364="Proceed below to confirm details and complete Entry Form",C368="I do not confirm"),"Please revise entries or contact OLSC for assistance",IF(AND(B364="Proceed below to confirm details and complete Entry Form",C368="I confirm"),"Entry Form complete - proceed to Summary sheet",""))))</f>
        <v/>
      </c>
      <c r="C371" s="114"/>
      <c r="D371" s="123" t="str">
        <f>IF(B369&lt;&gt;"Choose provider from the list","",IF(OR(AND(B373&lt;&gt;"Is another domestic provider required?",C369&lt;&gt;"",C369&lt;&gt;"PROVIDER NOT LISTED"),AND(B373&lt;&gt;"Is another domestic provider required?",C369="PROVIDER NOT LISTED",C370&lt;&gt;"")),"E",IF(AND(B373&lt;&gt;"Is another domestic provider required?",C366&lt;&gt;""),"",IF(AND(C373&lt;&gt;"Yes",C373&lt;&gt;"No"),"",IF(NOT(ISNUMBER(C371)),"D",IF(AND(INT(C371)=C371,C371&lt;&gt;"",C371&gt;0),"C","D"))))))</f>
        <v/>
      </c>
      <c r="F371" s="124" t="s">
        <v>612</v>
      </c>
      <c r="G371" s="124" t="s">
        <v>490</v>
      </c>
    </row>
    <row r="372" spans="1:7" ht="25.5" thickTop="1" thickBot="1" x14ac:dyDescent="0.5">
      <c r="A372" s="229"/>
      <c r="B372" s="154"/>
      <c r="C372" s="179"/>
      <c r="F372" s="124" t="s">
        <v>490</v>
      </c>
      <c r="G372" s="124" t="s">
        <v>490</v>
      </c>
    </row>
    <row r="373" spans="1:7" ht="25.5" thickTop="1" thickBot="1" x14ac:dyDescent="0.5">
      <c r="A373" s="229"/>
      <c r="B373" s="236" t="str">
        <f>IF(B369="","",IF(B369="Proceed below to confirm details and complete Entry Form","Please confirm that the details entered into the Entry Form are correct",IF(OR(AND(B369="Choose provider from the list",C369&lt;&gt;"",C369&lt;&gt;"PROVIDER NOT LISTED",C371&lt;&gt;""),AND(B369="Choose provider from the list",C369="PROVIDER NOT LISTED",C370&lt;&gt;"",C371&lt;&gt;"")),"Is another domestic provider required?","")))</f>
        <v/>
      </c>
      <c r="C373" s="113"/>
      <c r="D373" s="123" t="str">
        <f>IF(OR(B374="Please select 'Yes' or 'No' from the drop down list",B374="Please select 'I confirm' or 'I do not confirm' from the drop down list"),"E","")</f>
        <v/>
      </c>
      <c r="E373" s="123" t="str">
        <f>IF(B373="Is another domestic provider required?","E",IF(B373="Please confirm that the details entered into the Entry Form are correct","B",""))</f>
        <v/>
      </c>
      <c r="F373" s="124" t="s">
        <v>612</v>
      </c>
      <c r="G373" s="124" t="s">
        <v>607</v>
      </c>
    </row>
    <row r="374" spans="1:7" ht="25.5" thickTop="1" thickBot="1" x14ac:dyDescent="0.5">
      <c r="A374" s="234" t="str">
        <f>IF(AND(B374="Choose provider from the list",C373="Yes"),"Domestic Provider "&amp;(ROW()-ROW(A$154))/5,"")</f>
        <v/>
      </c>
      <c r="B374" s="183" t="str">
        <f>IF($B$158&lt;&gt;"Proceed below","",IF(ISNUMBER(MATCH("Proceed below to confirm details and complete Entry Form",$B$163:B368,0)),"",IF(AND(B369&lt;&gt;"Choose provider from the list",B369&lt;&gt;"Proceed below to confirm details and complete Entry Form"),"",IF(AND(B373="Please confirm that the details entered into the Entry Form are correct",C373&lt;&gt;"I confirm",C373&lt;&gt;"I do not confirm"),"Please select 'I confirm' or 'I do not confirm' from the drop down list",IF(AND(B373="Please confirm that the details entered into the Entry Form are correct",OR(C373="I confirm",C373="I do not confirm")),"",IF(AND(B373="Is another domestic provider required?",C373&lt;&gt;"Yes",C373&lt;&gt;"No"),"Please select 'Yes' or 'No' from the drop down list",IF(AND(B373="Is another domestic provider required?",OR(C373="Yes",C373="No"),C369=""),"WAIT: you must select a provider from the list",IF(AND(B373="Is another domestic provider required?",OR(C373="Yes",C373="No"),C369="PROVIDER NOT LISTED",C370=""),"WAIT: You must enter a provider name",IF(AND(B373="Is another domestic provider required?",OR(C373="Yes",C373="No"),NOT(ISNUMBER(MATCH(C369,H,0)))),"WAIT: You must select a provider from the list or select 'PROVIDER NOT LISTED'",IF(AND(B373="Is another domestic provider required?",OR(C373="Yes",C373="No"),C371=""),"WAIT: you must enter an expenditure value",IF(AND(B373="Is another domestic provider required?",OR(C373="Yes",C373="No"),NOT(ISNUMBER(C371))),"WAIT: you must enter numbers only",IF(AND(B373="Is another domestic provider required?",OR(C373="Yes",C373="No"),INT(C371)&lt;&gt;C371),"WAIT: you must enter a whole dollar amount",IF(AND(B373="Is another domestic provider required?",OR(C373="Yes",C373="No"),C371=0),"WAIT: expenditure value cannot be 0",IF(AND(B373="Is another domestic provider required?",OR(C373="Yes",C373="No"),C371&lt;0),"WAIT: expenditure value cannot be negative",IF(OR(AND(B373="Is another domestic provider required?",OR(C373="Yes",C373="No"),B370="",ISNUMBER(MATCH(C369,$C$163:C368,0))),AND(B373="Is another domestic provider required?",OR(C373="Yes",C373="No"),B370="Type provider name manually",ISNUMBER(MATCH(C370,$C$163:C368,0)))),"WAIT: cannot enter same provider twice",IF(AND($B$158="Proceed below",B373="Is another domestic provider required?",C373="Yes"),"Choose provider from the list",IF(AND(B373="Is another domestic provider required?",C373="No"),"Proceed below to confirm details and complete Entry Form","")))))))))))))))))</f>
        <v/>
      </c>
      <c r="C374" s="240"/>
      <c r="D374" s="123" t="str">
        <f>IF(B374&lt;&gt;"Choose provider from the list","",IF(AND(B378&lt;&gt;"Is another domestic provider required?",C374=""),"E",IF(AND(B378&lt;&gt;"Is another domestic provider required?",C374&lt;&gt;""),"",IF(AND(OR(C378="Yes",C378="No"),NOT(ISNUMBER(MATCH(C374,H,0)))),"D",IF(AND(OR(C378="Yes",C378="No"),B375="",ISNUMBER(MATCH(C374,$C$163:C373,0))),"D",IF(AND(OR(C378="Yes",C378="No"),C374&lt;&gt;""),"C",IF(AND(OR(C378="Yes",C378="No"),C374=""),"D","")))))))</f>
        <v/>
      </c>
      <c r="E374" s="123" t="str">
        <f>IF(B374="Choose provider from the list","H","")</f>
        <v/>
      </c>
      <c r="F374" s="124" t="s">
        <v>612</v>
      </c>
      <c r="G374" s="124" t="s">
        <v>610</v>
      </c>
    </row>
    <row r="375" spans="1:7" ht="25.5" thickTop="1" thickBot="1" x14ac:dyDescent="0.5">
      <c r="A375" s="229"/>
      <c r="B375" s="183" t="str">
        <f>IF(B374&lt;&gt;"Choose provider from the list","",IF(C374&lt;&gt;"PROVIDER NOT LISTED","","Type provider name manually"))</f>
        <v/>
      </c>
      <c r="C375" s="240"/>
      <c r="D375" s="123" t="str">
        <f>IF(B374&lt;&gt;"Choose provider from the list","",IF(B375&lt;&gt;"Type provider name manually","",IF(AND(B375="Type provider name manually",C375=""),"E",IF(AND(B375="Type provider name manually",C375&lt;&gt;"",C378=""),"",IF(AND(B378="Is another domestic provider required?",C378&lt;&gt;"",C375&lt;&gt;"",ISNUMBER(MATCH(C375,$C$163:C373,0))),"D",IF(AND(B378="Is another domestic provider required?",C378&lt;&gt;"",C375&lt;&gt;"",NOT(ISNUMBER(MATCH(C375,$C$163:C373,0)))),"C",""))))))</f>
        <v/>
      </c>
      <c r="F375" s="124" t="s">
        <v>612</v>
      </c>
      <c r="G375" s="124" t="s">
        <v>490</v>
      </c>
    </row>
    <row r="376" spans="1:7" ht="25.5" thickTop="1" thickBot="1" x14ac:dyDescent="0.5">
      <c r="A376" s="229"/>
      <c r="B376" s="183" t="str">
        <f>IF(B369="","",IF(B374="Choose provider from the list","Total value of expenditure",IF(AND(B369="Proceed below to confirm details and complete Entry Form",C373="I do not confirm"),"Please revise entries or contact OLSC for assistance",IF(AND(B369="Proceed below to confirm details and complete Entry Form",C373="I confirm"),"Entry Form complete - proceed to Summary sheet",""))))</f>
        <v/>
      </c>
      <c r="C376" s="114"/>
      <c r="D376" s="123" t="str">
        <f>IF(B374&lt;&gt;"Choose provider from the list","",IF(OR(AND(B378&lt;&gt;"Is another domestic provider required?",C374&lt;&gt;"",C374&lt;&gt;"PROVIDER NOT LISTED"),AND(B378&lt;&gt;"Is another domestic provider required?",C374="PROVIDER NOT LISTED",C375&lt;&gt;"")),"E",IF(AND(B378&lt;&gt;"Is another domestic provider required?",C371&lt;&gt;""),"",IF(AND(C378&lt;&gt;"Yes",C378&lt;&gt;"No"),"",IF(NOT(ISNUMBER(C376)),"D",IF(AND(INT(C376)=C376,C376&lt;&gt;"",C376&gt;0),"C","D"))))))</f>
        <v/>
      </c>
      <c r="F376" s="124" t="s">
        <v>612</v>
      </c>
      <c r="G376" s="124" t="s">
        <v>490</v>
      </c>
    </row>
    <row r="377" spans="1:7" ht="25.5" thickTop="1" thickBot="1" x14ac:dyDescent="0.5">
      <c r="A377" s="229"/>
      <c r="B377" s="154"/>
      <c r="C377" s="179"/>
      <c r="F377" s="124" t="s">
        <v>490</v>
      </c>
      <c r="G377" s="124" t="s">
        <v>490</v>
      </c>
    </row>
    <row r="378" spans="1:7" ht="25.5" thickTop="1" thickBot="1" x14ac:dyDescent="0.5">
      <c r="A378" s="229"/>
      <c r="B378" s="236" t="str">
        <f>IF(B374="","",IF(B374="Proceed below to confirm details and complete Entry Form","Please confirm that the details entered into the Entry Form are correct",IF(OR(AND(B374="Choose provider from the list",C374&lt;&gt;"",C374&lt;&gt;"PROVIDER NOT LISTED",C376&lt;&gt;""),AND(B374="Choose provider from the list",C374="PROVIDER NOT LISTED",C375&lt;&gt;"",C376&lt;&gt;"")),"Is another domestic provider required?","")))</f>
        <v/>
      </c>
      <c r="C378" s="113"/>
      <c r="D378" s="123" t="str">
        <f>IF(OR(B379="Please select 'Yes' or 'No' from the drop down list",B379="Please select 'I confirm' or 'I do not confirm' from the drop down list"),"E","")</f>
        <v/>
      </c>
      <c r="E378" s="123" t="str">
        <f>IF(B378="Is another domestic provider required?","E",IF(B378="Please confirm that the details entered into the Entry Form are correct","B",""))</f>
        <v/>
      </c>
      <c r="F378" s="124" t="s">
        <v>612</v>
      </c>
      <c r="G378" s="124" t="s">
        <v>607</v>
      </c>
    </row>
    <row r="379" spans="1:7" ht="25.5" thickTop="1" thickBot="1" x14ac:dyDescent="0.5">
      <c r="A379" s="234" t="str">
        <f>IF(AND(B379="Choose provider from the list",C378="Yes"),"Domestic Provider "&amp;(ROW()-ROW(A$154))/5,"")</f>
        <v/>
      </c>
      <c r="B379" s="183" t="str">
        <f>IF($B$158&lt;&gt;"Proceed below","",IF(ISNUMBER(MATCH("Proceed below to confirm details and complete Entry Form",$B$163:B373,0)),"",IF(AND(B374&lt;&gt;"Choose provider from the list",B374&lt;&gt;"Proceed below to confirm details and complete Entry Form"),"",IF(AND(B378="Please confirm that the details entered into the Entry Form are correct",C378&lt;&gt;"I confirm",C378&lt;&gt;"I do not confirm"),"Please select 'I confirm' or 'I do not confirm' from the drop down list",IF(AND(B378="Please confirm that the details entered into the Entry Form are correct",OR(C378="I confirm",C378="I do not confirm")),"",IF(AND(B378="Is another domestic provider required?",C378&lt;&gt;"Yes",C378&lt;&gt;"No"),"Please select 'Yes' or 'No' from the drop down list",IF(AND(B378="Is another domestic provider required?",OR(C378="Yes",C378="No"),C374=""),"WAIT: you must select a provider from the list",IF(AND(B378="Is another domestic provider required?",OR(C378="Yes",C378="No"),C374="PROVIDER NOT LISTED",C375=""),"WAIT: You must enter a provider name",IF(AND(B378="Is another domestic provider required?",OR(C378="Yes",C378="No"),NOT(ISNUMBER(MATCH(C374,H,0)))),"WAIT: You must select a provider from the list or select 'PROVIDER NOT LISTED'",IF(AND(B378="Is another domestic provider required?",OR(C378="Yes",C378="No"),C376=""),"WAIT: you must enter an expenditure value",IF(AND(B378="Is another domestic provider required?",OR(C378="Yes",C378="No"),NOT(ISNUMBER(C376))),"WAIT: you must enter numbers only",IF(AND(B378="Is another domestic provider required?",OR(C378="Yes",C378="No"),INT(C376)&lt;&gt;C376),"WAIT: you must enter a whole dollar amount",IF(AND(B378="Is another domestic provider required?",OR(C378="Yes",C378="No"),C376=0),"WAIT: expenditure value cannot be 0",IF(AND(B378="Is another domestic provider required?",OR(C378="Yes",C378="No"),C376&lt;0),"WAIT: expenditure value cannot be negative",IF(OR(AND(B378="Is another domestic provider required?",OR(C378="Yes",C378="No"),B375="",ISNUMBER(MATCH(C374,$C$163:C373,0))),AND(B378="Is another domestic provider required?",OR(C378="Yes",C378="No"),B375="Type provider name manually",ISNUMBER(MATCH(C375,$C$163:C373,0)))),"WAIT: cannot enter same provider twice",IF(AND($B$158="Proceed below",B378="Is another domestic provider required?",C378="Yes"),"Choose provider from the list",IF(AND(B378="Is another domestic provider required?",C378="No"),"Proceed below to confirm details and complete Entry Form","")))))))))))))))))</f>
        <v/>
      </c>
      <c r="C379" s="240"/>
      <c r="D379" s="123" t="str">
        <f>IF(B379&lt;&gt;"Choose provider from the list","",IF(AND(B383&lt;&gt;"Is another domestic provider required?",C379=""),"E",IF(AND(B383&lt;&gt;"Is another domestic provider required?",C379&lt;&gt;""),"",IF(AND(OR(C383="Yes",C383="No"),NOT(ISNUMBER(MATCH(C379,H,0)))),"D",IF(AND(OR(C383="Yes",C383="No"),B380="",ISNUMBER(MATCH(C379,$C$163:C378,0))),"D",IF(AND(OR(C383="Yes",C383="No"),C379&lt;&gt;""),"C",IF(AND(OR(C383="Yes",C383="No"),C379=""),"D","")))))))</f>
        <v/>
      </c>
      <c r="E379" s="123" t="str">
        <f>IF(B379="Choose provider from the list","H","")</f>
        <v/>
      </c>
      <c r="F379" s="124" t="s">
        <v>612</v>
      </c>
      <c r="G379" s="124" t="s">
        <v>610</v>
      </c>
    </row>
    <row r="380" spans="1:7" ht="25.5" thickTop="1" thickBot="1" x14ac:dyDescent="0.5">
      <c r="A380" s="229"/>
      <c r="B380" s="183" t="str">
        <f>IF(B379&lt;&gt;"Choose provider from the list","",IF(C379&lt;&gt;"PROVIDER NOT LISTED","","Type provider name manually"))</f>
        <v/>
      </c>
      <c r="C380" s="240"/>
      <c r="D380" s="123" t="str">
        <f>IF(B379&lt;&gt;"Choose provider from the list","",IF(B380&lt;&gt;"Type provider name manually","",IF(AND(B380="Type provider name manually",C380=""),"E",IF(AND(B380="Type provider name manually",C380&lt;&gt;"",C383=""),"",IF(AND(B383="Is another domestic provider required?",C383&lt;&gt;"",C380&lt;&gt;"",ISNUMBER(MATCH(C380,$C$163:C378,0))),"D",IF(AND(B383="Is another domestic provider required?",C383&lt;&gt;"",C380&lt;&gt;"",NOT(ISNUMBER(MATCH(C380,$C$163:C378,0)))),"C",""))))))</f>
        <v/>
      </c>
      <c r="F380" s="124" t="s">
        <v>612</v>
      </c>
      <c r="G380" s="124" t="s">
        <v>490</v>
      </c>
    </row>
    <row r="381" spans="1:7" ht="25.5" thickTop="1" thickBot="1" x14ac:dyDescent="0.5">
      <c r="A381" s="229"/>
      <c r="B381" s="183" t="str">
        <f>IF(B374="","",IF(B379="Choose provider from the list","Total value of expenditure",IF(AND(B374="Proceed below to confirm details and complete Entry Form",C378="I do not confirm"),"Please revise entries or contact OLSC for assistance",IF(AND(B374="Proceed below to confirm details and complete Entry Form",C378="I confirm"),"Entry Form complete - proceed to Summary sheet",""))))</f>
        <v/>
      </c>
      <c r="C381" s="114"/>
      <c r="D381" s="123" t="str">
        <f>IF(B379&lt;&gt;"Choose provider from the list","",IF(OR(AND(B383&lt;&gt;"Is another domestic provider required?",C379&lt;&gt;"",C379&lt;&gt;"PROVIDER NOT LISTED"),AND(B383&lt;&gt;"Is another domestic provider required?",C379="PROVIDER NOT LISTED",C380&lt;&gt;"")),"E",IF(AND(B383&lt;&gt;"Is another domestic provider required?",C376&lt;&gt;""),"",IF(AND(C383&lt;&gt;"Yes",C383&lt;&gt;"No"),"",IF(NOT(ISNUMBER(C381)),"D",IF(AND(INT(C381)=C381,C381&lt;&gt;"",C381&gt;0),"C","D"))))))</f>
        <v/>
      </c>
      <c r="F381" s="124" t="s">
        <v>612</v>
      </c>
      <c r="G381" s="124" t="s">
        <v>490</v>
      </c>
    </row>
    <row r="382" spans="1:7" ht="25.5" thickTop="1" thickBot="1" x14ac:dyDescent="0.5">
      <c r="A382" s="229"/>
      <c r="B382" s="154"/>
      <c r="C382" s="179"/>
      <c r="F382" s="124" t="s">
        <v>490</v>
      </c>
      <c r="G382" s="124" t="s">
        <v>490</v>
      </c>
    </row>
    <row r="383" spans="1:7" ht="25.5" thickTop="1" thickBot="1" x14ac:dyDescent="0.5">
      <c r="A383" s="229"/>
      <c r="B383" s="236" t="str">
        <f>IF(B379="","",IF(B379="Proceed below to confirm details and complete Entry Form","Please confirm that the details entered into the Entry Form are correct",IF(OR(AND(B379="Choose provider from the list",C379&lt;&gt;"",C379&lt;&gt;"PROVIDER NOT LISTED",C381&lt;&gt;""),AND(B379="Choose provider from the list",C379="PROVIDER NOT LISTED",C380&lt;&gt;"",C381&lt;&gt;"")),"Is another domestic provider required?","")))</f>
        <v/>
      </c>
      <c r="C383" s="113"/>
      <c r="D383" s="123" t="str">
        <f>IF(OR(B384="Please select 'Yes' or 'No' from the drop down list",B384="Please select 'I confirm' or 'I do not confirm' from the drop down list"),"E","")</f>
        <v/>
      </c>
      <c r="E383" s="123" t="str">
        <f>IF(B383="Is another domestic provider required?","E",IF(B383="Please confirm that the details entered into the Entry Form are correct","B",""))</f>
        <v/>
      </c>
      <c r="F383" s="124" t="s">
        <v>612</v>
      </c>
      <c r="G383" s="124" t="s">
        <v>607</v>
      </c>
    </row>
    <row r="384" spans="1:7" ht="25.5" thickTop="1" thickBot="1" x14ac:dyDescent="0.5">
      <c r="A384" s="234" t="str">
        <f>IF(AND(B384="Choose provider from the list",C383="Yes"),"Domestic Provider "&amp;(ROW()-ROW(A$154))/5,"")</f>
        <v/>
      </c>
      <c r="B384" s="183" t="str">
        <f>IF($B$158&lt;&gt;"Proceed below","",IF(ISNUMBER(MATCH("Proceed below to confirm details and complete Entry Form",$B$163:B378,0)),"",IF(AND(B379&lt;&gt;"Choose provider from the list",B379&lt;&gt;"Proceed below to confirm details and complete Entry Form"),"",IF(AND(B383="Please confirm that the details entered into the Entry Form are correct",C383&lt;&gt;"I confirm",C383&lt;&gt;"I do not confirm"),"Please select 'I confirm' or 'I do not confirm' from the drop down list",IF(AND(B383="Please confirm that the details entered into the Entry Form are correct",OR(C383="I confirm",C383="I do not confirm")),"",IF(AND(B383="Is another domestic provider required?",C383&lt;&gt;"Yes",C383&lt;&gt;"No"),"Please select 'Yes' or 'No' from the drop down list",IF(AND(B383="Is another domestic provider required?",OR(C383="Yes",C383="No"),C379=""),"WAIT: you must select a provider from the list",IF(AND(B383="Is another domestic provider required?",OR(C383="Yes",C383="No"),C379="PROVIDER NOT LISTED",C380=""),"WAIT: You must enter a provider name",IF(AND(B383="Is another domestic provider required?",OR(C383="Yes",C383="No"),NOT(ISNUMBER(MATCH(C379,H,0)))),"WAIT: You must select a provider from the list or select 'PROVIDER NOT LISTED'",IF(AND(B383="Is another domestic provider required?",OR(C383="Yes",C383="No"),C381=""),"WAIT: you must enter an expenditure value",IF(AND(B383="Is another domestic provider required?",OR(C383="Yes",C383="No"),NOT(ISNUMBER(C381))),"WAIT: you must enter numbers only",IF(AND(B383="Is another domestic provider required?",OR(C383="Yes",C383="No"),INT(C381)&lt;&gt;C381),"WAIT: you must enter a whole dollar amount",IF(AND(B383="Is another domestic provider required?",OR(C383="Yes",C383="No"),C381=0),"WAIT: expenditure value cannot be 0",IF(AND(B383="Is another domestic provider required?",OR(C383="Yes",C383="No"),C381&lt;0),"WAIT: expenditure value cannot be negative",IF(OR(AND(B383="Is another domestic provider required?",OR(C383="Yes",C383="No"),B380="",ISNUMBER(MATCH(C379,$C$163:C378,0))),AND(B383="Is another domestic provider required?",OR(C383="Yes",C383="No"),B380="Type provider name manually",ISNUMBER(MATCH(C380,$C$163:C378,0)))),"WAIT: cannot enter same provider twice",IF(AND($B$158="Proceed below",B383="Is another domestic provider required?",C383="Yes"),"Choose provider from the list",IF(AND(B383="Is another domestic provider required?",C383="No"),"Proceed below to confirm details and complete Entry Form","")))))))))))))))))</f>
        <v/>
      </c>
      <c r="C384" s="240"/>
      <c r="D384" s="123" t="str">
        <f>IF(B384&lt;&gt;"Choose provider from the list","",IF(AND(B388&lt;&gt;"Is another domestic provider required?",C384=""),"E",IF(AND(B388&lt;&gt;"Is another domestic provider required?",C384&lt;&gt;""),"",IF(AND(OR(C388="Yes",C388="No"),NOT(ISNUMBER(MATCH(C384,H,0)))),"D",IF(AND(OR(C388="Yes",C388="No"),B385="",ISNUMBER(MATCH(C384,$C$163:C383,0))),"D",IF(AND(OR(C388="Yes",C388="No"),C384&lt;&gt;""),"C",IF(AND(OR(C388="Yes",C388="No"),C384=""),"D","")))))))</f>
        <v/>
      </c>
      <c r="E384" s="123" t="str">
        <f>IF(B384="Choose provider from the list","H","")</f>
        <v/>
      </c>
      <c r="F384" s="124" t="s">
        <v>612</v>
      </c>
      <c r="G384" s="124" t="s">
        <v>610</v>
      </c>
    </row>
    <row r="385" spans="1:7" ht="25.5" thickTop="1" thickBot="1" x14ac:dyDescent="0.5">
      <c r="A385" s="229"/>
      <c r="B385" s="183" t="str">
        <f>IF(B384&lt;&gt;"Choose provider from the list","",IF(C384&lt;&gt;"PROVIDER NOT LISTED","","Type provider name manually"))</f>
        <v/>
      </c>
      <c r="C385" s="240"/>
      <c r="D385" s="123" t="str">
        <f>IF(B384&lt;&gt;"Choose provider from the list","",IF(B385&lt;&gt;"Type provider name manually","",IF(AND(B385="Type provider name manually",C385=""),"E",IF(AND(B385="Type provider name manually",C385&lt;&gt;"",C388=""),"",IF(AND(B388="Is another domestic provider required?",C388&lt;&gt;"",C385&lt;&gt;"",ISNUMBER(MATCH(C385,$C$163:C383,0))),"D",IF(AND(B388="Is another domestic provider required?",C388&lt;&gt;"",C385&lt;&gt;"",NOT(ISNUMBER(MATCH(C385,$C$163:C383,0)))),"C",""))))))</f>
        <v/>
      </c>
      <c r="F385" s="124" t="s">
        <v>612</v>
      </c>
      <c r="G385" s="124" t="s">
        <v>490</v>
      </c>
    </row>
    <row r="386" spans="1:7" ht="25.5" thickTop="1" thickBot="1" x14ac:dyDescent="0.5">
      <c r="A386" s="229"/>
      <c r="B386" s="183" t="str">
        <f>IF(B379="","",IF(B384="Choose provider from the list","Total value of expenditure",IF(AND(B379="Proceed below to confirm details and complete Entry Form",C383="I do not confirm"),"Please revise entries or contact OLSC for assistance",IF(AND(B379="Proceed below to confirm details and complete Entry Form",C383="I confirm"),"Entry Form complete - proceed to Summary sheet",""))))</f>
        <v/>
      </c>
      <c r="C386" s="114"/>
      <c r="D386" s="123" t="str">
        <f>IF(B384&lt;&gt;"Choose provider from the list","",IF(OR(AND(B388&lt;&gt;"Is another domestic provider required?",C384&lt;&gt;"",C384&lt;&gt;"PROVIDER NOT LISTED"),AND(B388&lt;&gt;"Is another domestic provider required?",C384="PROVIDER NOT LISTED",C385&lt;&gt;"")),"E",IF(AND(B388&lt;&gt;"Is another domestic provider required?",C381&lt;&gt;""),"",IF(AND(C388&lt;&gt;"Yes",C388&lt;&gt;"No"),"",IF(NOT(ISNUMBER(C386)),"D",IF(AND(INT(C386)=C386,C386&lt;&gt;"",C386&gt;0),"C","D"))))))</f>
        <v/>
      </c>
      <c r="F386" s="124" t="s">
        <v>612</v>
      </c>
      <c r="G386" s="124" t="s">
        <v>490</v>
      </c>
    </row>
    <row r="387" spans="1:7" ht="25.5" thickTop="1" thickBot="1" x14ac:dyDescent="0.5">
      <c r="A387" s="229"/>
      <c r="B387" s="154"/>
      <c r="C387" s="179"/>
      <c r="F387" s="124" t="s">
        <v>490</v>
      </c>
      <c r="G387" s="124" t="s">
        <v>490</v>
      </c>
    </row>
    <row r="388" spans="1:7" ht="25.5" thickTop="1" thickBot="1" x14ac:dyDescent="0.5">
      <c r="A388" s="229"/>
      <c r="B388" s="236" t="str">
        <f>IF(B384="","",IF(B384="Proceed below to confirm details and complete Entry Form","Please confirm that the details entered into the Entry Form are correct",IF(OR(AND(B384="Choose provider from the list",C384&lt;&gt;"",C384&lt;&gt;"PROVIDER NOT LISTED",C386&lt;&gt;""),AND(B384="Choose provider from the list",C384="PROVIDER NOT LISTED",C385&lt;&gt;"",C386&lt;&gt;"")),"Is another domestic provider required?","")))</f>
        <v/>
      </c>
      <c r="C388" s="113"/>
      <c r="D388" s="123" t="str">
        <f>IF(OR(B389="Please select 'Yes' or 'No' from the drop down list",B389="Please select 'I confirm' or 'I do not confirm' from the drop down list"),"E","")</f>
        <v/>
      </c>
      <c r="E388" s="123" t="str">
        <f>IF(B388="Is another domestic provider required?","E",IF(B388="Please confirm that the details entered into the Entry Form are correct","B",""))</f>
        <v/>
      </c>
      <c r="F388" s="124" t="s">
        <v>612</v>
      </c>
      <c r="G388" s="124" t="s">
        <v>607</v>
      </c>
    </row>
    <row r="389" spans="1:7" ht="25.5" thickTop="1" thickBot="1" x14ac:dyDescent="0.5">
      <c r="A389" s="234" t="str">
        <f>IF(AND(B389="Choose provider from the list",C388="Yes"),"Domestic Provider "&amp;(ROW()-ROW(A$154))/5,"")</f>
        <v/>
      </c>
      <c r="B389" s="183" t="str">
        <f>IF($B$158&lt;&gt;"Proceed below","",IF(ISNUMBER(MATCH("Proceed below to confirm details and complete Entry Form",$B$163:B383,0)),"",IF(AND(B384&lt;&gt;"Choose provider from the list",B384&lt;&gt;"Proceed below to confirm details and complete Entry Form"),"",IF(AND(B388="Please confirm that the details entered into the Entry Form are correct",C388&lt;&gt;"I confirm",C388&lt;&gt;"I do not confirm"),"Please select 'I confirm' or 'I do not confirm' from the drop down list",IF(AND(B388="Please confirm that the details entered into the Entry Form are correct",OR(C388="I confirm",C388="I do not confirm")),"",IF(AND(B388="Is another domestic provider required?",C388&lt;&gt;"Yes",C388&lt;&gt;"No"),"Please select 'Yes' or 'No' from the drop down list",IF(AND(B388="Is another domestic provider required?",OR(C388="Yes",C388="No"),C384=""),"WAIT: you must select a provider from the list",IF(AND(B388="Is another domestic provider required?",OR(C388="Yes",C388="No"),C384="PROVIDER NOT LISTED",C385=""),"WAIT: You must enter a provider name",IF(AND(B388="Is another domestic provider required?",OR(C388="Yes",C388="No"),NOT(ISNUMBER(MATCH(C384,H,0)))),"WAIT: You must select a provider from the list or select 'PROVIDER NOT LISTED'",IF(AND(B388="Is another domestic provider required?",OR(C388="Yes",C388="No"),C386=""),"WAIT: you must enter an expenditure value",IF(AND(B388="Is another domestic provider required?",OR(C388="Yes",C388="No"),NOT(ISNUMBER(C386))),"WAIT: you must enter numbers only",IF(AND(B388="Is another domestic provider required?",OR(C388="Yes",C388="No"),INT(C386)&lt;&gt;C386),"WAIT: you must enter a whole dollar amount",IF(AND(B388="Is another domestic provider required?",OR(C388="Yes",C388="No"),C386=0),"WAIT: expenditure value cannot be 0",IF(AND(B388="Is another domestic provider required?",OR(C388="Yes",C388="No"),C386&lt;0),"WAIT: expenditure value cannot be negative",IF(OR(AND(B388="Is another domestic provider required?",OR(C388="Yes",C388="No"),B385="",ISNUMBER(MATCH(C384,$C$163:C383,0))),AND(B388="Is another domestic provider required?",OR(C388="Yes",C388="No"),B385="Type provider name manually",ISNUMBER(MATCH(C385,$C$163:C383,0)))),"WAIT: cannot enter same provider twice",IF(AND($B$158="Proceed below",B388="Is another domestic provider required?",C388="Yes"),"Choose provider from the list",IF(AND(B388="Is another domestic provider required?",C388="No"),"Proceed below to confirm details and complete Entry Form","")))))))))))))))))</f>
        <v/>
      </c>
      <c r="C389" s="240"/>
      <c r="D389" s="123" t="str">
        <f>IF(B389&lt;&gt;"Choose provider from the list","",IF(AND(B393&lt;&gt;"Is another domestic provider required?",C389=""),"E",IF(AND(B393&lt;&gt;"Is another domestic provider required?",C389&lt;&gt;""),"",IF(AND(OR(C393="Yes",C393="No"),NOT(ISNUMBER(MATCH(C389,H,0)))),"D",IF(AND(OR(C393="Yes",C393="No"),B390="",ISNUMBER(MATCH(C389,$C$163:C388,0))),"D",IF(AND(OR(C393="Yes",C393="No"),C389&lt;&gt;""),"C",IF(AND(OR(C393="Yes",C393="No"),C389=""),"D","")))))))</f>
        <v/>
      </c>
      <c r="E389" s="123" t="str">
        <f>IF(B389="Choose provider from the list","H","")</f>
        <v/>
      </c>
      <c r="F389" s="124" t="s">
        <v>612</v>
      </c>
      <c r="G389" s="124" t="s">
        <v>610</v>
      </c>
    </row>
    <row r="390" spans="1:7" ht="25.5" thickTop="1" thickBot="1" x14ac:dyDescent="0.5">
      <c r="A390" s="229"/>
      <c r="B390" s="183" t="str">
        <f>IF(B389&lt;&gt;"Choose provider from the list","",IF(C389&lt;&gt;"PROVIDER NOT LISTED","","Type provider name manually"))</f>
        <v/>
      </c>
      <c r="C390" s="240"/>
      <c r="D390" s="123" t="str">
        <f>IF(B389&lt;&gt;"Choose provider from the list","",IF(B390&lt;&gt;"Type provider name manually","",IF(AND(B390="Type provider name manually",C390=""),"E",IF(AND(B390="Type provider name manually",C390&lt;&gt;"",C393=""),"",IF(AND(B393="Is another domestic provider required?",C393&lt;&gt;"",C390&lt;&gt;"",ISNUMBER(MATCH(C390,$C$163:C388,0))),"D",IF(AND(B393="Is another domestic provider required?",C393&lt;&gt;"",C390&lt;&gt;"",NOT(ISNUMBER(MATCH(C390,$C$163:C388,0)))),"C",""))))))</f>
        <v/>
      </c>
      <c r="F390" s="124" t="s">
        <v>612</v>
      </c>
      <c r="G390" s="124" t="s">
        <v>490</v>
      </c>
    </row>
    <row r="391" spans="1:7" ht="25.5" thickTop="1" thickBot="1" x14ac:dyDescent="0.5">
      <c r="A391" s="229"/>
      <c r="B391" s="183" t="str">
        <f>IF(B384="","",IF(B389="Choose provider from the list","Total value of expenditure",IF(AND(B384="Proceed below to confirm details and complete Entry Form",C388="I do not confirm"),"Please revise entries or contact OLSC for assistance",IF(AND(B384="Proceed below to confirm details and complete Entry Form",C388="I confirm"),"Entry Form complete - proceed to Summary sheet",""))))</f>
        <v/>
      </c>
      <c r="C391" s="114"/>
      <c r="D391" s="123" t="str">
        <f>IF(B389&lt;&gt;"Choose provider from the list","",IF(OR(AND(B393&lt;&gt;"Is another domestic provider required?",C389&lt;&gt;"",C389&lt;&gt;"PROVIDER NOT LISTED"),AND(B393&lt;&gt;"Is another domestic provider required?",C389="PROVIDER NOT LISTED",C390&lt;&gt;"")),"E",IF(AND(B393&lt;&gt;"Is another domestic provider required?",C386&lt;&gt;""),"",IF(AND(C393&lt;&gt;"Yes",C393&lt;&gt;"No"),"",IF(NOT(ISNUMBER(C391)),"D",IF(AND(INT(C391)=C391,C391&lt;&gt;"",C391&gt;0),"C","D"))))))</f>
        <v/>
      </c>
      <c r="F391" s="124" t="s">
        <v>612</v>
      </c>
      <c r="G391" s="124" t="s">
        <v>490</v>
      </c>
    </row>
    <row r="392" spans="1:7" ht="25.5" thickTop="1" thickBot="1" x14ac:dyDescent="0.5">
      <c r="A392" s="229"/>
      <c r="B392" s="154"/>
      <c r="C392" s="179"/>
      <c r="F392" s="124" t="s">
        <v>490</v>
      </c>
      <c r="G392" s="124" t="s">
        <v>490</v>
      </c>
    </row>
    <row r="393" spans="1:7" ht="25.5" thickTop="1" thickBot="1" x14ac:dyDescent="0.5">
      <c r="A393" s="229"/>
      <c r="B393" s="236" t="str">
        <f>IF(B389="","",IF(B389="Proceed below to confirm details and complete Entry Form","Please confirm that the details entered into the Entry Form are correct",IF(OR(AND(B389="Choose provider from the list",C389&lt;&gt;"",C389&lt;&gt;"PROVIDER NOT LISTED",C391&lt;&gt;""),AND(B389="Choose provider from the list",C389="PROVIDER NOT LISTED",C390&lt;&gt;"",C391&lt;&gt;"")),"Is another domestic provider required?","")))</f>
        <v/>
      </c>
      <c r="C393" s="113"/>
      <c r="D393" s="123" t="str">
        <f>IF(OR(B394="Please select 'Yes' or 'No' from the drop down list",B394="Please select 'I confirm' or 'I do not confirm' from the drop down list"),"E","")</f>
        <v/>
      </c>
      <c r="E393" s="123" t="str">
        <f>IF(B393="Is another domestic provider required?","E",IF(B393="Please confirm that the details entered into the Entry Form are correct","B",""))</f>
        <v/>
      </c>
      <c r="F393" s="124" t="s">
        <v>612</v>
      </c>
      <c r="G393" s="124" t="s">
        <v>607</v>
      </c>
    </row>
    <row r="394" spans="1:7" ht="25.5" thickTop="1" thickBot="1" x14ac:dyDescent="0.5">
      <c r="A394" s="234" t="str">
        <f>IF(AND(B394="Choose provider from the list",C393="Yes"),"Domestic Provider "&amp;(ROW()-ROW(A$154))/5,"")</f>
        <v/>
      </c>
      <c r="B394" s="183" t="str">
        <f>IF($B$158&lt;&gt;"Proceed below","",IF(ISNUMBER(MATCH("Proceed below to confirm details and complete Entry Form",$B$163:B388,0)),"",IF(AND(B389&lt;&gt;"Choose provider from the list",B389&lt;&gt;"Proceed below to confirm details and complete Entry Form"),"",IF(AND(B393="Please confirm that the details entered into the Entry Form are correct",C393&lt;&gt;"I confirm",C393&lt;&gt;"I do not confirm"),"Please select 'I confirm' or 'I do not confirm' from the drop down list",IF(AND(B393="Please confirm that the details entered into the Entry Form are correct",OR(C393="I confirm",C393="I do not confirm")),"",IF(AND(B393="Is another domestic provider required?",C393&lt;&gt;"Yes",C393&lt;&gt;"No"),"Please select 'Yes' or 'No' from the drop down list",IF(AND(B393="Is another domestic provider required?",OR(C393="Yes",C393="No"),C389=""),"WAIT: you must select a provider from the list",IF(AND(B393="Is another domestic provider required?",OR(C393="Yes",C393="No"),C389="PROVIDER NOT LISTED",C390=""),"WAIT: You must enter a provider name",IF(AND(B393="Is another domestic provider required?",OR(C393="Yes",C393="No"),NOT(ISNUMBER(MATCH(C389,H,0)))),"WAIT: You must select a provider from the list or select 'PROVIDER NOT LISTED'",IF(AND(B393="Is another domestic provider required?",OR(C393="Yes",C393="No"),C391=""),"WAIT: you must enter an expenditure value",IF(AND(B393="Is another domestic provider required?",OR(C393="Yes",C393="No"),NOT(ISNUMBER(C391))),"WAIT: you must enter numbers only",IF(AND(B393="Is another domestic provider required?",OR(C393="Yes",C393="No"),INT(C391)&lt;&gt;C391),"WAIT: you must enter a whole dollar amount",IF(AND(B393="Is another domestic provider required?",OR(C393="Yes",C393="No"),C391=0),"WAIT: expenditure value cannot be 0",IF(AND(B393="Is another domestic provider required?",OR(C393="Yes",C393="No"),C391&lt;0),"WAIT: expenditure value cannot be negative",IF(OR(AND(B393="Is another domestic provider required?",OR(C393="Yes",C393="No"),B390="",ISNUMBER(MATCH(C389,$C$163:C388,0))),AND(B393="Is another domestic provider required?",OR(C393="Yes",C393="No"),B390="Type provider name manually",ISNUMBER(MATCH(C390,$C$163:C388,0)))),"WAIT: cannot enter same provider twice",IF(AND($B$158="Proceed below",B393="Is another domestic provider required?",C393="Yes"),"Choose provider from the list",IF(AND(B393="Is another domestic provider required?",C393="No"),"Proceed below to confirm details and complete Entry Form","")))))))))))))))))</f>
        <v/>
      </c>
      <c r="C394" s="240"/>
      <c r="D394" s="123" t="str">
        <f>IF(B394&lt;&gt;"Choose provider from the list","",IF(AND(B398&lt;&gt;"Is another domestic provider required?",C394=""),"E",IF(AND(B398&lt;&gt;"Is another domestic provider required?",C394&lt;&gt;""),"",IF(AND(OR(C398="Yes",C398="No"),NOT(ISNUMBER(MATCH(C394,H,0)))),"D",IF(AND(OR(C398="Yes",C398="No"),B395="",ISNUMBER(MATCH(C394,$C$163:C393,0))),"D",IF(AND(OR(C398="Yes",C398="No"),C394&lt;&gt;""),"C",IF(AND(OR(C398="Yes",C398="No"),C394=""),"D","")))))))</f>
        <v/>
      </c>
      <c r="E394" s="123" t="str">
        <f>IF(B394="Choose provider from the list","H","")</f>
        <v/>
      </c>
      <c r="F394" s="124" t="s">
        <v>612</v>
      </c>
      <c r="G394" s="124" t="s">
        <v>610</v>
      </c>
    </row>
    <row r="395" spans="1:7" ht="25.5" thickTop="1" thickBot="1" x14ac:dyDescent="0.5">
      <c r="A395" s="229"/>
      <c r="B395" s="183" t="str">
        <f>IF(B394&lt;&gt;"Choose provider from the list","",IF(C394&lt;&gt;"PROVIDER NOT LISTED","","Type provider name manually"))</f>
        <v/>
      </c>
      <c r="C395" s="240"/>
      <c r="D395" s="123" t="str">
        <f>IF(B394&lt;&gt;"Choose provider from the list","",IF(B395&lt;&gt;"Type provider name manually","",IF(AND(B395="Type provider name manually",C395=""),"E",IF(AND(B395="Type provider name manually",C395&lt;&gt;"",C398=""),"",IF(AND(B398="Is another domestic provider required?",C398&lt;&gt;"",C395&lt;&gt;"",ISNUMBER(MATCH(C395,$C$163:C393,0))),"D",IF(AND(B398="Is another domestic provider required?",C398&lt;&gt;"",C395&lt;&gt;"",NOT(ISNUMBER(MATCH(C395,$C$163:C393,0)))),"C",""))))))</f>
        <v/>
      </c>
      <c r="F395" s="124" t="s">
        <v>612</v>
      </c>
      <c r="G395" s="124" t="s">
        <v>490</v>
      </c>
    </row>
    <row r="396" spans="1:7" ht="25.5" thickTop="1" thickBot="1" x14ac:dyDescent="0.5">
      <c r="A396" s="229"/>
      <c r="B396" s="183" t="str">
        <f>IF(B389="","",IF(B394="Choose provider from the list","Total value of expenditure",IF(AND(B389="Proceed below to confirm details and complete Entry Form",C393="I do not confirm"),"Please revise entries or contact OLSC for assistance",IF(AND(B389="Proceed below to confirm details and complete Entry Form",C393="I confirm"),"Entry Form complete - proceed to Summary sheet",""))))</f>
        <v/>
      </c>
      <c r="C396" s="114"/>
      <c r="D396" s="123" t="str">
        <f>IF(B394&lt;&gt;"Choose provider from the list","",IF(OR(AND(B398&lt;&gt;"Is another domestic provider required?",C394&lt;&gt;"",C394&lt;&gt;"PROVIDER NOT LISTED"),AND(B398&lt;&gt;"Is another domestic provider required?",C394="PROVIDER NOT LISTED",C395&lt;&gt;"")),"E",IF(AND(B398&lt;&gt;"Is another domestic provider required?",C391&lt;&gt;""),"",IF(AND(C398&lt;&gt;"Yes",C398&lt;&gt;"No"),"",IF(NOT(ISNUMBER(C396)),"D",IF(AND(INT(C396)=C396,C396&lt;&gt;"",C396&gt;0),"C","D"))))))</f>
        <v/>
      </c>
      <c r="F396" s="124" t="s">
        <v>612</v>
      </c>
      <c r="G396" s="124" t="s">
        <v>490</v>
      </c>
    </row>
    <row r="397" spans="1:7" ht="25.5" thickTop="1" thickBot="1" x14ac:dyDescent="0.5">
      <c r="A397" s="229"/>
      <c r="B397" s="154"/>
      <c r="C397" s="179"/>
      <c r="F397" s="124" t="s">
        <v>490</v>
      </c>
      <c r="G397" s="124" t="s">
        <v>490</v>
      </c>
    </row>
    <row r="398" spans="1:7" ht="25.5" thickTop="1" thickBot="1" x14ac:dyDescent="0.5">
      <c r="A398" s="229"/>
      <c r="B398" s="236" t="str">
        <f>IF(B394="","",IF(B394="Proceed below to confirm details and complete Entry Form","Please confirm that the details entered into the Entry Form are correct",IF(OR(AND(B394="Choose provider from the list",C394&lt;&gt;"",C394&lt;&gt;"PROVIDER NOT LISTED",C396&lt;&gt;""),AND(B394="Choose provider from the list",C394="PROVIDER NOT LISTED",C395&lt;&gt;"",C396&lt;&gt;"")),"Is another domestic provider required?","")))</f>
        <v/>
      </c>
      <c r="C398" s="113"/>
      <c r="D398" s="123" t="str">
        <f>IF(OR(B399="Please select 'Yes' or 'No' from the drop down list",B399="Please select 'I confirm' or 'I do not confirm' from the drop down list"),"E","")</f>
        <v/>
      </c>
      <c r="E398" s="123" t="str">
        <f>IF(B398="Is another domestic provider required?","E",IF(B398="Please confirm that the details entered into the Entry Form are correct","B",""))</f>
        <v/>
      </c>
      <c r="F398" s="124" t="s">
        <v>612</v>
      </c>
      <c r="G398" s="124" t="s">
        <v>607</v>
      </c>
    </row>
    <row r="399" spans="1:7" ht="25.5" thickTop="1" thickBot="1" x14ac:dyDescent="0.5">
      <c r="A399" s="234" t="str">
        <f>IF(AND(B399="Choose provider from the list",C398="Yes"),"Domestic Provider "&amp;(ROW()-ROW(A$154))/5,"")</f>
        <v/>
      </c>
      <c r="B399" s="183" t="str">
        <f>IF($B$158&lt;&gt;"Proceed below","",IF(ISNUMBER(MATCH("Proceed below to confirm details and complete Entry Form",$B$163:B393,0)),"",IF(AND(B394&lt;&gt;"Choose provider from the list",B394&lt;&gt;"Proceed below to confirm details and complete Entry Form"),"",IF(AND(B398="Please confirm that the details entered into the Entry Form are correct",C398&lt;&gt;"I confirm",C398&lt;&gt;"I do not confirm"),"Please select 'I confirm' or 'I do not confirm' from the drop down list",IF(AND(B398="Please confirm that the details entered into the Entry Form are correct",OR(C398="I confirm",C398="I do not confirm")),"",IF(AND(B398="Is another domestic provider required?",C398&lt;&gt;"Yes",C398&lt;&gt;"No"),"Please select 'Yes' or 'No' from the drop down list",IF(AND(B398="Is another domestic provider required?",OR(C398="Yes",C398="No"),C394=""),"WAIT: you must select a provider from the list",IF(AND(B398="Is another domestic provider required?",OR(C398="Yes",C398="No"),C394="PROVIDER NOT LISTED",C395=""),"WAIT: You must enter a provider name",IF(AND(B398="Is another domestic provider required?",OR(C398="Yes",C398="No"),NOT(ISNUMBER(MATCH(C394,H,0)))),"WAIT: You must select a provider from the list or select 'PROVIDER NOT LISTED'",IF(AND(B398="Is another domestic provider required?",OR(C398="Yes",C398="No"),C396=""),"WAIT: you must enter an expenditure value",IF(AND(B398="Is another domestic provider required?",OR(C398="Yes",C398="No"),NOT(ISNUMBER(C396))),"WAIT: you must enter numbers only",IF(AND(B398="Is another domestic provider required?",OR(C398="Yes",C398="No"),INT(C396)&lt;&gt;C396),"WAIT: you must enter a whole dollar amount",IF(AND(B398="Is another domestic provider required?",OR(C398="Yes",C398="No"),C396=0),"WAIT: expenditure value cannot be 0",IF(AND(B398="Is another domestic provider required?",OR(C398="Yes",C398="No"),C396&lt;0),"WAIT: expenditure value cannot be negative",IF(OR(AND(B398="Is another domestic provider required?",OR(C398="Yes",C398="No"),B395="",ISNUMBER(MATCH(C394,$C$163:C393,0))),AND(B398="Is another domestic provider required?",OR(C398="Yes",C398="No"),B395="Type provider name manually",ISNUMBER(MATCH(C395,$C$163:C393,0)))),"WAIT: cannot enter same provider twice",IF(AND($B$158="Proceed below",B398="Is another domestic provider required?",C398="Yes"),"You have entered the maximum number of domestic providers - please contact OLSC for assistance",IF(AND(B398="Is another domestic provider required?",C398="No"),"Proceed below to confirm details and complete Entry Form","")))))))))))))))))</f>
        <v/>
      </c>
      <c r="C399" s="240"/>
      <c r="D399" s="123" t="str">
        <f>IF(B399&lt;&gt;"Choose provider from the list","",IF(AND(B403&lt;&gt;"Is another domestic provider required?",C399=""),"E",IF(AND(B403&lt;&gt;"Is another domestic provider required?",C399&lt;&gt;""),"",IF(AND(OR(C403="Yes",C403="No"),NOT(ISNUMBER(MATCH(C399,H,0)))),"D",IF(AND(OR(C403="Yes",C403="No"),B400="",ISNUMBER(MATCH(C399,$C$163:C398,0))),"D",IF(AND(OR(C403="Yes",C403="No"),C399&lt;&gt;""),"C",IF(AND(OR(C403="Yes",C403="No"),C399=""),"D","")))))))</f>
        <v/>
      </c>
      <c r="E399" s="123" t="str">
        <f>IF(B399="Choose provider from the list","H","")</f>
        <v/>
      </c>
      <c r="F399" s="124" t="s">
        <v>612</v>
      </c>
      <c r="G399" s="124" t="s">
        <v>610</v>
      </c>
    </row>
    <row r="400" spans="1:7" ht="25.5" thickTop="1" thickBot="1" x14ac:dyDescent="0.5">
      <c r="A400" s="229"/>
      <c r="B400" s="183" t="str">
        <f>IF(B399&lt;&gt;"Choose provider from the list","",IF(C399&lt;&gt;"PROVIDER NOT LISTED","","Type provider name manually"))</f>
        <v/>
      </c>
      <c r="C400" s="240"/>
      <c r="D400" s="123" t="str">
        <f>IF(B399&lt;&gt;"Choose provider from the list","",IF(B400&lt;&gt;"Type provider name manually","",IF(AND(B400="Type provider name manually",C400=""),"E",IF(AND(B400="Type provider name manually",C400&lt;&gt;"",C403=""),"",IF(AND(B403="Is another domestic provider required?",C403&lt;&gt;"",C400&lt;&gt;"",ISNUMBER(MATCH(C400,$C$163:C398,0))),"D",IF(AND(B403="Is another domestic provider required?",C403&lt;&gt;"",C400&lt;&gt;"",NOT(ISNUMBER(MATCH(C400,$C$163:C398,0)))),"C",""))))))</f>
        <v/>
      </c>
      <c r="F400" s="124" t="s">
        <v>612</v>
      </c>
      <c r="G400" s="124" t="s">
        <v>490</v>
      </c>
    </row>
    <row r="401" spans="1:7" ht="25.5" thickTop="1" thickBot="1" x14ac:dyDescent="0.5">
      <c r="A401" s="229"/>
      <c r="B401" s="183" t="str">
        <f>IF(B394="","",IF(B399="Choose provider from the list","Total value of expenditure",IF(AND(B394="Proceed below to confirm details and complete Entry Form",C398="I do not confirm"),"Please revise entries or contact OLSC for assistance",IF(AND(B394="Proceed below to confirm details and complete Entry Form",C398="I confirm"),"Entry Form complete - proceed to Summary sheet",""))))</f>
        <v/>
      </c>
      <c r="C401" s="114"/>
      <c r="D401" s="123" t="str">
        <f>IF(B399&lt;&gt;"Choose provider from the list","",IF(OR(AND(B403&lt;&gt;"Is another domestic provider required?",C399&lt;&gt;"",C399&lt;&gt;"PROVIDER NOT LISTED"),AND(B403&lt;&gt;"Is another domestic provider required?",C399="PROVIDER NOT LISTED",C400&lt;&gt;"")),"E",IF(AND(B403&lt;&gt;"Is another domestic provider required?",C396&lt;&gt;""),"",IF(AND(C403&lt;&gt;"Yes",C403&lt;&gt;"No"),"",IF(NOT(ISNUMBER(C401)),"D",IF(AND(INT(C401)=C401,C401&lt;&gt;"",C401&gt;0),"C","D"))))))</f>
        <v/>
      </c>
      <c r="F401" s="124" t="s">
        <v>612</v>
      </c>
      <c r="G401" s="124" t="s">
        <v>490</v>
      </c>
    </row>
    <row r="402" spans="1:7" ht="25.5" thickTop="1" thickBot="1" x14ac:dyDescent="0.5">
      <c r="A402" s="229"/>
      <c r="B402" s="154"/>
      <c r="C402" s="179"/>
      <c r="F402" s="124" t="s">
        <v>490</v>
      </c>
      <c r="G402" s="124" t="s">
        <v>490</v>
      </c>
    </row>
    <row r="403" spans="1:7" ht="25.5" thickTop="1" thickBot="1" x14ac:dyDescent="0.5">
      <c r="A403" s="229"/>
      <c r="B403" s="236" t="str">
        <f>IF(B399="","",IF(B399="Proceed below to confirm details and complete Entry Form","Please confirm that the details entered into the Entry Form are correct",IF(OR(AND(B399="Choose provider from the list",C399&lt;&gt;"",C399&lt;&gt;"PROVIDER NOT LISTED",C401&lt;&gt;""),AND(B399="Choose provider from the list",C399="PROVIDER NOT LISTED",C400&lt;&gt;"",C401&lt;&gt;"")),"Is another domestic provider required?","")))</f>
        <v/>
      </c>
      <c r="C403" s="113"/>
      <c r="D403" s="123" t="str">
        <f>IF(OR(B404="Please select 'Yes' or 'No' from the drop down list",B404="Please select 'I confirm' or 'I do not confirm' from the drop down list"),"E","")</f>
        <v/>
      </c>
      <c r="E403" s="123" t="str">
        <f>IF(B403="Is another domestic provider required?","E",IF(B403="Please confirm that the details entered into the Entry Form are correct","B",""))</f>
        <v/>
      </c>
      <c r="F403" s="124" t="s">
        <v>612</v>
      </c>
      <c r="G403" s="124" t="s">
        <v>607</v>
      </c>
    </row>
    <row r="404" spans="1:7" ht="25.5" thickTop="1" thickBot="1" x14ac:dyDescent="0.5">
      <c r="A404" s="234" t="str">
        <f>IF(AND(B404="Choose provider from the list",C403="Yes"),"Domestic Provider "&amp;(ROW()-ROW(A$154))/5,"")</f>
        <v/>
      </c>
      <c r="B404" s="183" t="str">
        <f>IF($B$158&lt;&gt;"Proceed below","",IF(ISNUMBER(MATCH("Proceed below to confirm details and complete Entry Form",$B$163:B398,0)),"",IF(AND(B399&lt;&gt;"Choose provider from the list",B399&lt;&gt;"Proceed below to confirm details and complete Entry Form"),"",IF(AND(B403="Please confirm that the details entered into the Entry Form are correct",C403&lt;&gt;"I confirm",C403&lt;&gt;"I do not confirm"),"Please select 'I confirm' or 'I do not confirm' from the drop down list",IF(AND(B403="Please confirm that the details entered into the Entry Form are correct",OR(C403="I confirm",C403="I do not confirm")),"",IF(AND(B403="Is another domestic provider required?",C403&lt;&gt;"Yes",C403&lt;&gt;"No"),"Please select 'Yes' or 'No' from the drop down list",IF(AND(B403="Is another domestic provider required?",OR(C403="Yes",C403="No"),C399=""),"WAIT: you must select a provider from the list",IF(AND(B403="Is another domestic provider required?",OR(C403="Yes",C403="No"),C399="PROVIDER NOT LISTED",C400=""),"WAIT: You must enter a provider name",IF(AND(B403="Is another domestic provider required?",OR(C403="Yes",C403="No"),NOT(ISNUMBER(MATCH(C399,H,0)))),"WAIT: You must select a provider from the list or select 'PROVIDER NOT LISTED'",IF(AND(B403="Is another domestic provider required?",OR(C403="Yes",C403="No"),C401=""),"WAIT: you must enter an expenditure value",IF(AND(B403="Is another domestic provider required?",OR(C403="Yes",C403="No"),NOT(ISNUMBER(C401))),"WAIT: you must enter numbers only",IF(AND(B403="Is another domestic provider required?",OR(C403="Yes",C403="No"),INT(C401)&lt;&gt;C401),"WAIT: you must enter a whole dollar amount",IF(AND(B403="Is another domestic provider required?",OR(C403="Yes",C403="No"),C401=0),"WAIT: expenditure value cannot be 0",IF(AND(B403="Is another domestic provider required?",OR(C403="Yes",C403="No"),C401&lt;0),"WAIT: expenditure value cannot be negative",IF(OR(AND(B403="Is another domestic provider required?",OR(C403="Yes",C403="No"),B400="",ISNUMBER(MATCH(C399,$C$163:C398,0))),AND(B403="Is another domestic provider required?",OR(C403="Yes",C403="No"),B400="Type provider name manually",ISNUMBER(MATCH(C400,$C$163:C398,0)))),"WAIT: cannot enter same provider twice",IF(AND($B$158="Proceed below",B403="Is another domestic provider required?",C403="Yes"),"Choose provider from the list",IF(AND(B403="Is another domestic provider required?",C403="No"),"Proceed below to confirm details and complete Entry Form","")))))))))))))))))</f>
        <v/>
      </c>
      <c r="C404" s="240"/>
      <c r="D404" s="123" t="str">
        <f>IF(B404&lt;&gt;"Choose provider from the list","",IF(AND(B408&lt;&gt;"Is another domestic provider required?",C404=""),"E",IF(AND(B408&lt;&gt;"Is another domestic provider required?",C404&lt;&gt;""),"",IF(AND(OR(C408="Yes",C408="No"),NOT(ISNUMBER(MATCH(C404,H,0)))),"D",IF(AND(OR(C408="Yes",C408="No"),B405="",ISNUMBER(MATCH(C404,$C$163:C403,0))),"D",IF(AND(OR(C408="Yes",C408="No"),C404&lt;&gt;""),"C",IF(AND(OR(C408="Yes",C408="No"),C404=""),"D","")))))))</f>
        <v/>
      </c>
      <c r="E404" s="123" t="str">
        <f>IF(B404="Choose provider from the list","H","")</f>
        <v/>
      </c>
      <c r="F404" s="124" t="s">
        <v>612</v>
      </c>
      <c r="G404" s="124" t="s">
        <v>610</v>
      </c>
    </row>
    <row r="405" spans="1:7" ht="25.5" thickTop="1" thickBot="1" x14ac:dyDescent="0.5">
      <c r="A405" s="229"/>
      <c r="B405" s="183" t="str">
        <f>IF(B404&lt;&gt;"Choose provider from the list","",IF(C404&lt;&gt;"PROVIDER NOT LISTED","","Type provider name manually"))</f>
        <v/>
      </c>
      <c r="C405" s="240"/>
      <c r="D405" s="123" t="str">
        <f>IF(B404&lt;&gt;"Choose provider from the list","",IF(B405&lt;&gt;"Type provider name manually","",IF(AND(B405="Type provider name manually",C405=""),"E",IF(AND(B405="Type provider name manually",C405&lt;&gt;"",C408=""),"",IF(AND(B408="Is another domestic provider required?",C408&lt;&gt;"",C405&lt;&gt;"",ISNUMBER(MATCH(C405,$C$163:C403,0))),"D",IF(AND(B408="Is another domestic provider required?",C408&lt;&gt;"",C405&lt;&gt;"",NOT(ISNUMBER(MATCH(C405,$C$163:C403,0)))),"C",""))))))</f>
        <v/>
      </c>
      <c r="F405" s="124" t="s">
        <v>612</v>
      </c>
      <c r="G405" s="124" t="s">
        <v>490</v>
      </c>
    </row>
    <row r="406" spans="1:7" ht="25.5" thickTop="1" thickBot="1" x14ac:dyDescent="0.5">
      <c r="A406" s="229"/>
      <c r="B406" s="183" t="str">
        <f>IF(B399="","",IF(B404="Choose provider from the list","Total value of expenditure",IF(AND(B399="Proceed below to confirm details and complete Entry Form",C403="I do not confirm"),"Please revise entries or contact OLSC for assistance",IF(AND(B399="Proceed below to confirm details and complete Entry Form",C403="I confirm"),"Entry Form complete - proceed to Summary sheet",""))))</f>
        <v/>
      </c>
      <c r="C406" s="114"/>
      <c r="D406" s="123" t="str">
        <f>IF(B404&lt;&gt;"Choose provider from the list","",IF(OR(AND(B408&lt;&gt;"Is another domestic provider required?",C404&lt;&gt;"",C404&lt;&gt;"PROVIDER NOT LISTED"),AND(B408&lt;&gt;"Is another domestic provider required?",C404="PROVIDER NOT LISTED",C405&lt;&gt;"")),"E",IF(AND(B408&lt;&gt;"Is another domestic provider required?",C401&lt;&gt;""),"",IF(AND(C408&lt;&gt;"Yes",C408&lt;&gt;"No"),"",IF(NOT(ISNUMBER(C406)),"D",IF(AND(INT(C406)=C406,C406&lt;&gt;"",C406&gt;0),"C","D"))))))</f>
        <v/>
      </c>
      <c r="F406" s="124" t="s">
        <v>612</v>
      </c>
      <c r="G406" s="124" t="s">
        <v>490</v>
      </c>
    </row>
    <row r="407" spans="1:7" ht="25.5" thickTop="1" thickBot="1" x14ac:dyDescent="0.5">
      <c r="A407" s="235"/>
      <c r="B407" s="200" t="str">
        <f>IF(ISNUMBER(MATCH("Entry Form complete - proceed to summary sheet",$B$164:$B$406,0)),"Entry Form complete","")</f>
        <v>Entry Form complete</v>
      </c>
      <c r="C407" s="201"/>
      <c r="F407" s="124" t="s">
        <v>490</v>
      </c>
      <c r="G407" s="124" t="s">
        <v>490</v>
      </c>
    </row>
  </sheetData>
  <sheetProtection algorithmName="SHA-256" hashValue="PUxQ3FcqdfvzoYSFnlrwl97enCOInDZZ0ExIN4f5og0=" saltValue="Ys88DeU+MsBKqS4+DHuwBQ==" spinCount="100000" sheet="1" objects="1" scenarios="1"/>
  <conditionalFormatting sqref="A27:C30">
    <cfRule type="expression" dxfId="793" priority="9171">
      <formula>$B$25&lt;&gt;"Proceed below"</formula>
    </cfRule>
  </conditionalFormatting>
  <conditionalFormatting sqref="A35:C35 A34:B34">
    <cfRule type="expression" dxfId="792" priority="9169">
      <formula>$B$32&lt;&gt;"Proceed below"</formula>
    </cfRule>
  </conditionalFormatting>
  <conditionalFormatting sqref="A39:C43">
    <cfRule type="expression" dxfId="791" priority="9168">
      <formula>$B$37&lt;&gt;"Proceed below"</formula>
    </cfRule>
  </conditionalFormatting>
  <conditionalFormatting sqref="A47:C56">
    <cfRule type="expression" dxfId="790" priority="9167">
      <formula>$B$45&lt;&gt;"Proceed below"</formula>
    </cfRule>
  </conditionalFormatting>
  <conditionalFormatting sqref="A60:C68">
    <cfRule type="expression" dxfId="789" priority="9166">
      <formula>$B$58&lt;&gt;"Proceed below"</formula>
    </cfRule>
  </conditionalFormatting>
  <conditionalFormatting sqref="A72:C81">
    <cfRule type="expression" dxfId="788" priority="9165">
      <formula>$B$70&lt;&gt;"Proceed below"</formula>
    </cfRule>
  </conditionalFormatting>
  <conditionalFormatting sqref="A85:C93">
    <cfRule type="expression" dxfId="787" priority="9164">
      <formula>$B$83&lt;&gt;"Proceed below"</formula>
    </cfRule>
  </conditionalFormatting>
  <conditionalFormatting sqref="A97:C100">
    <cfRule type="expression" dxfId="786" priority="9163">
      <formula>$B$95&lt;&gt;"Proceed below"</formula>
    </cfRule>
  </conditionalFormatting>
  <conditionalFormatting sqref="A104:C105">
    <cfRule type="expression" dxfId="785" priority="9162">
      <formula>$B$102&lt;&gt;"Proceed below"</formula>
    </cfRule>
  </conditionalFormatting>
  <conditionalFormatting sqref="A109:C112">
    <cfRule type="expression" dxfId="784" priority="9161">
      <formula>$B$107&lt;&gt;"Proceed below"</formula>
    </cfRule>
  </conditionalFormatting>
  <conditionalFormatting sqref="A116:C122">
    <cfRule type="expression" dxfId="783" priority="9160">
      <formula>$B$114&lt;&gt;"Proceed below"</formula>
    </cfRule>
  </conditionalFormatting>
  <conditionalFormatting sqref="A126:C130">
    <cfRule type="expression" dxfId="782" priority="9159">
      <formula>$B$124&lt;&gt;"Proceed below"</formula>
    </cfRule>
  </conditionalFormatting>
  <conditionalFormatting sqref="A134:C140">
    <cfRule type="expression" dxfId="781" priority="9158">
      <formula>$B$132&lt;&gt;"Proceed below"</formula>
    </cfRule>
  </conditionalFormatting>
  <conditionalFormatting sqref="A154:C156">
    <cfRule type="expression" dxfId="780" priority="9157">
      <formula>$B$152&lt;&gt;"Proceed below"</formula>
    </cfRule>
  </conditionalFormatting>
  <conditionalFormatting sqref="A26:C26">
    <cfRule type="expression" dxfId="779" priority="9152">
      <formula>$B$25&lt;&gt;"Proceed below"</formula>
    </cfRule>
  </conditionalFormatting>
  <conditionalFormatting sqref="A33:C33">
    <cfRule type="expression" dxfId="778" priority="9151">
      <formula>$B$32&lt;&gt;"Proceed below"</formula>
    </cfRule>
  </conditionalFormatting>
  <conditionalFormatting sqref="A38:C38">
    <cfRule type="expression" dxfId="777" priority="9150">
      <formula>$B$37&lt;&gt;"Proceed below"</formula>
    </cfRule>
  </conditionalFormatting>
  <conditionalFormatting sqref="A46:C46">
    <cfRule type="expression" dxfId="776" priority="9149">
      <formula>$B$45&lt;&gt;"Proceed below"</formula>
    </cfRule>
  </conditionalFormatting>
  <conditionalFormatting sqref="A71:C71">
    <cfRule type="expression" dxfId="775" priority="9148">
      <formula>$B$70&lt;&gt;"Proceed below"</formula>
    </cfRule>
  </conditionalFormatting>
  <conditionalFormatting sqref="A96:C96">
    <cfRule type="expression" dxfId="774" priority="9147">
      <formula>$B$95&lt;&gt;"Proceed below"</formula>
    </cfRule>
  </conditionalFormatting>
  <conditionalFormatting sqref="A103:C103">
    <cfRule type="expression" dxfId="773" priority="9146">
      <formula>$B$102&lt;&gt;"Proceed below"</formula>
    </cfRule>
  </conditionalFormatting>
  <conditionalFormatting sqref="A108:C108">
    <cfRule type="expression" dxfId="772" priority="9145">
      <formula>$B$107&lt;&gt;"Proceed below"</formula>
    </cfRule>
  </conditionalFormatting>
  <conditionalFormatting sqref="A115:C115">
    <cfRule type="expression" dxfId="771" priority="9144">
      <formula>$B$114&lt;&gt;"Proceed below"</formula>
    </cfRule>
  </conditionalFormatting>
  <conditionalFormatting sqref="A133:C133">
    <cfRule type="expression" dxfId="770" priority="9143">
      <formula>$B$132&lt;&gt;"Proceed below"</formula>
    </cfRule>
  </conditionalFormatting>
  <conditionalFormatting sqref="A144:C150">
    <cfRule type="expression" dxfId="769" priority="9142">
      <formula>$B$142&lt;&gt;"Proceed below"</formula>
    </cfRule>
  </conditionalFormatting>
  <conditionalFormatting sqref="A143:C143">
    <cfRule type="expression" dxfId="768" priority="9141">
      <formula>$B$142&lt;&gt;"Proceed below"</formula>
    </cfRule>
  </conditionalFormatting>
  <conditionalFormatting sqref="A153:C153">
    <cfRule type="expression" dxfId="767" priority="9140">
      <formula>$B$152&lt;&gt;"Proceed below"</formula>
    </cfRule>
  </conditionalFormatting>
  <conditionalFormatting sqref="A159:C159">
    <cfRule type="expression" dxfId="766" priority="9139">
      <formula>$B$158&lt;&gt;"Proceed below"</formula>
    </cfRule>
  </conditionalFormatting>
  <conditionalFormatting sqref="A160:C162">
    <cfRule type="expression" dxfId="765" priority="9138">
      <formula>$B$158&lt;&gt;"Proceed below"</formula>
    </cfRule>
  </conditionalFormatting>
  <conditionalFormatting sqref="B165:C165">
    <cfRule type="expression" dxfId="764" priority="7101">
      <formula>$B165&lt;&gt;"Type provider name manually"</formula>
    </cfRule>
  </conditionalFormatting>
  <conditionalFormatting sqref="A31:C31">
    <cfRule type="expression" dxfId="763" priority="7100">
      <formula>$B$25&lt;&gt;"Proceed below"</formula>
    </cfRule>
  </conditionalFormatting>
  <conditionalFormatting sqref="A36:C36">
    <cfRule type="expression" dxfId="762" priority="7099">
      <formula>$B$32&lt;&gt;"Proceed below"</formula>
    </cfRule>
  </conditionalFormatting>
  <conditionalFormatting sqref="A44:C44">
    <cfRule type="expression" dxfId="761" priority="7098">
      <formula>$B$37&lt;&gt;"Proceed below"</formula>
    </cfRule>
  </conditionalFormatting>
  <conditionalFormatting sqref="A57:C57">
    <cfRule type="expression" dxfId="760" priority="7097">
      <formula>$B$45&lt;&gt;"Proceed below"</formula>
    </cfRule>
  </conditionalFormatting>
  <conditionalFormatting sqref="A59:C59">
    <cfRule type="expression" dxfId="759" priority="7096">
      <formula>$B$58&lt;&gt;"Proceed below"</formula>
    </cfRule>
  </conditionalFormatting>
  <conditionalFormatting sqref="A69:C69">
    <cfRule type="expression" dxfId="758" priority="7095">
      <formula>$B$58&lt;&gt;"Proceed below"</formula>
    </cfRule>
  </conditionalFormatting>
  <conditionalFormatting sqref="A82:C82">
    <cfRule type="expression" dxfId="757" priority="7094">
      <formula>$B$70&lt;&gt;"Proceed below"</formula>
    </cfRule>
  </conditionalFormatting>
  <conditionalFormatting sqref="A84:C84">
    <cfRule type="expression" dxfId="756" priority="7093">
      <formula>$B$83&lt;&gt;"Proceed below"</formula>
    </cfRule>
  </conditionalFormatting>
  <conditionalFormatting sqref="A94:C94">
    <cfRule type="expression" dxfId="755" priority="7092">
      <formula>$B$83&lt;&gt;"Proceed below"</formula>
    </cfRule>
  </conditionalFormatting>
  <conditionalFormatting sqref="A101:C101">
    <cfRule type="expression" dxfId="754" priority="7091">
      <formula>$B$95&lt;&gt;"Proceed below"</formula>
    </cfRule>
  </conditionalFormatting>
  <conditionalFormatting sqref="A106:C106">
    <cfRule type="expression" dxfId="753" priority="7090">
      <formula>$B$102&lt;&gt;"Proceed below"</formula>
    </cfRule>
  </conditionalFormatting>
  <conditionalFormatting sqref="A113:C113">
    <cfRule type="expression" dxfId="752" priority="7089">
      <formula>$B$107&lt;&gt;"Proceed below"</formula>
    </cfRule>
  </conditionalFormatting>
  <conditionalFormatting sqref="A123:C123">
    <cfRule type="expression" dxfId="751" priority="7088">
      <formula>$B$114&lt;&gt;"Proceed below"</formula>
    </cfRule>
  </conditionalFormatting>
  <conditionalFormatting sqref="A125:C125">
    <cfRule type="expression" dxfId="750" priority="7087">
      <formula>$B$124&lt;&gt;"Proceed below"</formula>
    </cfRule>
  </conditionalFormatting>
  <conditionalFormatting sqref="A131:C131">
    <cfRule type="expression" dxfId="749" priority="7086">
      <formula>$B$124&lt;&gt;"Proceed below"</formula>
    </cfRule>
  </conditionalFormatting>
  <conditionalFormatting sqref="A141:C141">
    <cfRule type="expression" dxfId="748" priority="7085">
      <formula>$B$132&lt;&gt;"Proceed below"</formula>
    </cfRule>
  </conditionalFormatting>
  <conditionalFormatting sqref="A151:C151">
    <cfRule type="expression" dxfId="747" priority="7084">
      <formula>$B$142&lt;&gt;"Proceed below"</formula>
    </cfRule>
  </conditionalFormatting>
  <conditionalFormatting sqref="A157:C157">
    <cfRule type="expression" dxfId="746" priority="7083">
      <formula>$B$152&lt;&gt;"Proceed below"</formula>
    </cfRule>
  </conditionalFormatting>
  <conditionalFormatting sqref="A163:C163">
    <cfRule type="expression" dxfId="745" priority="7080">
      <formula>OR($B158&lt;&gt;"Proceed below",$C161="")</formula>
    </cfRule>
  </conditionalFormatting>
  <conditionalFormatting sqref="C164 A164">
    <cfRule type="expression" dxfId="744" priority="7079">
      <formula>$B$164&lt;&gt;"Choose provider from the list"</formula>
    </cfRule>
  </conditionalFormatting>
  <conditionalFormatting sqref="B164">
    <cfRule type="expression" dxfId="743" priority="7078">
      <formula>$B$164&lt;&gt;"Choose provider from the list"</formula>
    </cfRule>
  </conditionalFormatting>
  <conditionalFormatting sqref="A165:C165">
    <cfRule type="expression" dxfId="742" priority="7077">
      <formula>$B$164&lt;&gt;"Choose provider from the list"</formula>
    </cfRule>
  </conditionalFormatting>
  <conditionalFormatting sqref="C166 A166">
    <cfRule type="expression" dxfId="741" priority="7076">
      <formula>$B166&lt;&gt;"Total value of expenditure"</formula>
    </cfRule>
  </conditionalFormatting>
  <conditionalFormatting sqref="B166">
    <cfRule type="expression" dxfId="740" priority="7075">
      <formula>$B166&lt;&gt;"Total value of expenditure"</formula>
    </cfRule>
  </conditionalFormatting>
  <conditionalFormatting sqref="A167:C167">
    <cfRule type="expression" dxfId="739" priority="7074">
      <formula>$B166&lt;&gt;"Total value of expenditure"</formula>
    </cfRule>
  </conditionalFormatting>
  <conditionalFormatting sqref="B168:C168">
    <cfRule type="expression" dxfId="738" priority="7073">
      <formula>$B168=""</formula>
    </cfRule>
  </conditionalFormatting>
  <conditionalFormatting sqref="C169 A169">
    <cfRule type="expression" dxfId="737" priority="7072">
      <formula>$B169&lt;&gt;"Choose provider from the list"</formula>
    </cfRule>
  </conditionalFormatting>
  <conditionalFormatting sqref="B169">
    <cfRule type="expression" dxfId="736" priority="7071">
      <formula>$B169&lt;&gt;"Choose provider from the list"</formula>
    </cfRule>
  </conditionalFormatting>
  <conditionalFormatting sqref="A170:C170">
    <cfRule type="expression" dxfId="735" priority="6414">
      <formula>$B169&lt;&gt;"Choose provider from the list"</formula>
    </cfRule>
  </conditionalFormatting>
  <conditionalFormatting sqref="B171">
    <cfRule type="expression" dxfId="734" priority="7053">
      <formula>$B171="Please revise entries or contact OLSC for assistance"</formula>
    </cfRule>
    <cfRule type="expression" dxfId="733" priority="7054">
      <formula>$B171="Entry Form complete - proceed to Summary sheet"</formula>
    </cfRule>
    <cfRule type="expression" dxfId="732" priority="7068">
      <formula>$B171&lt;&gt;"Total value of expenditure"</formula>
    </cfRule>
  </conditionalFormatting>
  <conditionalFormatting sqref="C171 A171">
    <cfRule type="expression" dxfId="731" priority="7067">
      <formula>$B171&lt;&gt;"Total value of expenditure"</formula>
    </cfRule>
  </conditionalFormatting>
  <conditionalFormatting sqref="A168">
    <cfRule type="expression" dxfId="730" priority="7066">
      <formula>$B168&lt;&gt;"Is another domestic provider required?"</formula>
    </cfRule>
  </conditionalFormatting>
  <conditionalFormatting sqref="B168">
    <cfRule type="expression" dxfId="729" priority="7056">
      <formula>$B168="Please confirm that the details entered into the Entry Form are correct"</formula>
    </cfRule>
  </conditionalFormatting>
  <conditionalFormatting sqref="C168">
    <cfRule type="expression" dxfId="728" priority="7055">
      <formula>$B168="Please confirm that the details entered into the Entry Form are correct"</formula>
    </cfRule>
  </conditionalFormatting>
  <conditionalFormatting sqref="B170:C170">
    <cfRule type="expression" dxfId="727" priority="7069">
      <formula>$B170&lt;&gt;"Type provider name manually"</formula>
    </cfRule>
  </conditionalFormatting>
  <conditionalFormatting sqref="A1:A171 A407">
    <cfRule type="expression" dxfId="726" priority="3950">
      <formula>$B$1="Legal Services Expenditure Report 2020-21"</formula>
    </cfRule>
  </conditionalFormatting>
  <conditionalFormatting sqref="A172:C172">
    <cfRule type="expression" dxfId="725" priority="659">
      <formula>$B171&lt;&gt;"Total value of expenditure"</formula>
    </cfRule>
  </conditionalFormatting>
  <conditionalFormatting sqref="B173:C173">
    <cfRule type="expression" dxfId="724" priority="658">
      <formula>$B173=""</formula>
    </cfRule>
  </conditionalFormatting>
  <conditionalFormatting sqref="C174 A174">
    <cfRule type="expression" dxfId="723" priority="657">
      <formula>$B174&lt;&gt;"Choose provider from the list"</formula>
    </cfRule>
  </conditionalFormatting>
  <conditionalFormatting sqref="B174">
    <cfRule type="expression" dxfId="722" priority="656">
      <formula>$B174&lt;&gt;"Choose provider from the list"</formula>
    </cfRule>
  </conditionalFormatting>
  <conditionalFormatting sqref="A175:C175">
    <cfRule type="expression" dxfId="721" priority="647">
      <formula>$B174&lt;&gt;"Choose provider from the list"</formula>
    </cfRule>
  </conditionalFormatting>
  <conditionalFormatting sqref="B176">
    <cfRule type="expression" dxfId="720" priority="648">
      <formula>$B176="Please revise entries or contact OLSC for assistance"</formula>
    </cfRule>
    <cfRule type="expression" dxfId="719" priority="649">
      <formula>$B176="Entry Form complete - proceed to Summary sheet"</formula>
    </cfRule>
    <cfRule type="expression" dxfId="718" priority="654">
      <formula>$B176&lt;&gt;"Total value of expenditure"</formula>
    </cfRule>
  </conditionalFormatting>
  <conditionalFormatting sqref="C176 A176">
    <cfRule type="expression" dxfId="717" priority="653">
      <formula>$B176&lt;&gt;"Total value of expenditure"</formula>
    </cfRule>
  </conditionalFormatting>
  <conditionalFormatting sqref="A173">
    <cfRule type="expression" dxfId="716" priority="652">
      <formula>$B173&lt;&gt;"Is another domestic provider required?"</formula>
    </cfRule>
  </conditionalFormatting>
  <conditionalFormatting sqref="B173">
    <cfRule type="expression" dxfId="715" priority="651">
      <formula>$B173="Please confirm that the details entered into the Entry Form are correct"</formula>
    </cfRule>
  </conditionalFormatting>
  <conditionalFormatting sqref="C173">
    <cfRule type="expression" dxfId="714" priority="650">
      <formula>$B173="Please confirm that the details entered into the Entry Form are correct"</formula>
    </cfRule>
  </conditionalFormatting>
  <conditionalFormatting sqref="B175:C175">
    <cfRule type="expression" dxfId="713" priority="655">
      <formula>$B175&lt;&gt;"Type provider name manually"</formula>
    </cfRule>
  </conditionalFormatting>
  <conditionalFormatting sqref="A172:A176">
    <cfRule type="expression" dxfId="712" priority="646">
      <formula>$B$1="Legal Services Expenditure Report 2020-21"</formula>
    </cfRule>
  </conditionalFormatting>
  <conditionalFormatting sqref="A177:C177">
    <cfRule type="expression" dxfId="711" priority="645">
      <formula>$B176&lt;&gt;"Total value of expenditure"</formula>
    </cfRule>
  </conditionalFormatting>
  <conditionalFormatting sqref="B178:C178">
    <cfRule type="expression" dxfId="710" priority="644">
      <formula>$B178=""</formula>
    </cfRule>
  </conditionalFormatting>
  <conditionalFormatting sqref="C179 A179">
    <cfRule type="expression" dxfId="709" priority="643">
      <formula>$B179&lt;&gt;"Choose provider from the list"</formula>
    </cfRule>
  </conditionalFormatting>
  <conditionalFormatting sqref="B179">
    <cfRule type="expression" dxfId="708" priority="642">
      <formula>$B179&lt;&gt;"Choose provider from the list"</formula>
    </cfRule>
  </conditionalFormatting>
  <conditionalFormatting sqref="A180:C180">
    <cfRule type="expression" dxfId="707" priority="633">
      <formula>$B179&lt;&gt;"Choose provider from the list"</formula>
    </cfRule>
  </conditionalFormatting>
  <conditionalFormatting sqref="B181">
    <cfRule type="expression" dxfId="706" priority="634">
      <formula>$B181="Please revise entries or contact OLSC for assistance"</formula>
    </cfRule>
    <cfRule type="expression" dxfId="705" priority="635">
      <formula>$B181="Entry Form complete - proceed to Summary sheet"</formula>
    </cfRule>
    <cfRule type="expression" dxfId="704" priority="640">
      <formula>$B181&lt;&gt;"Total value of expenditure"</formula>
    </cfRule>
  </conditionalFormatting>
  <conditionalFormatting sqref="C181 A181">
    <cfRule type="expression" dxfId="703" priority="639">
      <formula>$B181&lt;&gt;"Total value of expenditure"</formula>
    </cfRule>
  </conditionalFormatting>
  <conditionalFormatting sqref="A178">
    <cfRule type="expression" dxfId="702" priority="638">
      <formula>$B178&lt;&gt;"Is another domestic provider required?"</formula>
    </cfRule>
  </conditionalFormatting>
  <conditionalFormatting sqref="B178">
    <cfRule type="expression" dxfId="701" priority="637">
      <formula>$B178="Please confirm that the details entered into the Entry Form are correct"</formula>
    </cfRule>
  </conditionalFormatting>
  <conditionalFormatting sqref="C178">
    <cfRule type="expression" dxfId="700" priority="636">
      <formula>$B178="Please confirm that the details entered into the Entry Form are correct"</formula>
    </cfRule>
  </conditionalFormatting>
  <conditionalFormatting sqref="B180:C180">
    <cfRule type="expression" dxfId="699" priority="641">
      <formula>$B180&lt;&gt;"Type provider name manually"</formula>
    </cfRule>
  </conditionalFormatting>
  <conditionalFormatting sqref="A177:A181">
    <cfRule type="expression" dxfId="698" priority="632">
      <formula>$B$1="Legal Services Expenditure Report 2020-21"</formula>
    </cfRule>
  </conditionalFormatting>
  <conditionalFormatting sqref="A182:C182">
    <cfRule type="expression" dxfId="697" priority="631">
      <formula>$B181&lt;&gt;"Total value of expenditure"</formula>
    </cfRule>
  </conditionalFormatting>
  <conditionalFormatting sqref="B183:C183">
    <cfRule type="expression" dxfId="696" priority="630">
      <formula>$B183=""</formula>
    </cfRule>
  </conditionalFormatting>
  <conditionalFormatting sqref="C184 A184">
    <cfRule type="expression" dxfId="695" priority="629">
      <formula>$B184&lt;&gt;"Choose provider from the list"</formula>
    </cfRule>
  </conditionalFormatting>
  <conditionalFormatting sqref="B184">
    <cfRule type="expression" dxfId="694" priority="628">
      <formula>$B184&lt;&gt;"Choose provider from the list"</formula>
    </cfRule>
  </conditionalFormatting>
  <conditionalFormatting sqref="A185:C185">
    <cfRule type="expression" dxfId="693" priority="619">
      <formula>$B184&lt;&gt;"Choose provider from the list"</formula>
    </cfRule>
  </conditionalFormatting>
  <conditionalFormatting sqref="B186">
    <cfRule type="expression" dxfId="692" priority="620">
      <formula>$B186="Please revise entries or contact OLSC for assistance"</formula>
    </cfRule>
    <cfRule type="expression" dxfId="691" priority="621">
      <formula>$B186="Entry Form complete - proceed to Summary sheet"</formula>
    </cfRule>
    <cfRule type="expression" dxfId="690" priority="626">
      <formula>$B186&lt;&gt;"Total value of expenditure"</formula>
    </cfRule>
  </conditionalFormatting>
  <conditionalFormatting sqref="C186 A186">
    <cfRule type="expression" dxfId="689" priority="625">
      <formula>$B186&lt;&gt;"Total value of expenditure"</formula>
    </cfRule>
  </conditionalFormatting>
  <conditionalFormatting sqref="A183">
    <cfRule type="expression" dxfId="688" priority="624">
      <formula>$B183&lt;&gt;"Is another domestic provider required?"</formula>
    </cfRule>
  </conditionalFormatting>
  <conditionalFormatting sqref="B183">
    <cfRule type="expression" dxfId="687" priority="623">
      <formula>$B183="Please confirm that the details entered into the Entry Form are correct"</formula>
    </cfRule>
  </conditionalFormatting>
  <conditionalFormatting sqref="C183">
    <cfRule type="expression" dxfId="686" priority="622">
      <formula>$B183="Please confirm that the details entered into the Entry Form are correct"</formula>
    </cfRule>
  </conditionalFormatting>
  <conditionalFormatting sqref="B185:C185">
    <cfRule type="expression" dxfId="685" priority="627">
      <formula>$B185&lt;&gt;"Type provider name manually"</formula>
    </cfRule>
  </conditionalFormatting>
  <conditionalFormatting sqref="A182:A186">
    <cfRule type="expression" dxfId="684" priority="618">
      <formula>$B$1="Legal Services Expenditure Report 2020-21"</formula>
    </cfRule>
  </conditionalFormatting>
  <conditionalFormatting sqref="A187:C187">
    <cfRule type="expression" dxfId="683" priority="617">
      <formula>$B186&lt;&gt;"Total value of expenditure"</formula>
    </cfRule>
  </conditionalFormatting>
  <conditionalFormatting sqref="B188:C188">
    <cfRule type="expression" dxfId="682" priority="616">
      <formula>$B188=""</formula>
    </cfRule>
  </conditionalFormatting>
  <conditionalFormatting sqref="C189 A189">
    <cfRule type="expression" dxfId="681" priority="615">
      <formula>$B189&lt;&gt;"Choose provider from the list"</formula>
    </cfRule>
  </conditionalFormatting>
  <conditionalFormatting sqref="B189">
    <cfRule type="expression" dxfId="680" priority="614">
      <formula>$B189&lt;&gt;"Choose provider from the list"</formula>
    </cfRule>
  </conditionalFormatting>
  <conditionalFormatting sqref="A190:C190">
    <cfRule type="expression" dxfId="679" priority="605">
      <formula>$B189&lt;&gt;"Choose provider from the list"</formula>
    </cfRule>
  </conditionalFormatting>
  <conditionalFormatting sqref="B191">
    <cfRule type="expression" dxfId="678" priority="606">
      <formula>$B191="Please revise entries or contact OLSC for assistance"</formula>
    </cfRule>
    <cfRule type="expression" dxfId="677" priority="607">
      <formula>$B191="Entry Form complete - proceed to Summary sheet"</formula>
    </cfRule>
    <cfRule type="expression" dxfId="676" priority="612">
      <formula>$B191&lt;&gt;"Total value of expenditure"</formula>
    </cfRule>
  </conditionalFormatting>
  <conditionalFormatting sqref="C191 A191">
    <cfRule type="expression" dxfId="675" priority="611">
      <formula>$B191&lt;&gt;"Total value of expenditure"</formula>
    </cfRule>
  </conditionalFormatting>
  <conditionalFormatting sqref="A188">
    <cfRule type="expression" dxfId="674" priority="610">
      <formula>$B188&lt;&gt;"Is another domestic provider required?"</formula>
    </cfRule>
  </conditionalFormatting>
  <conditionalFormatting sqref="B188">
    <cfRule type="expression" dxfId="673" priority="609">
      <formula>$B188="Please confirm that the details entered into the Entry Form are correct"</formula>
    </cfRule>
  </conditionalFormatting>
  <conditionalFormatting sqref="C188">
    <cfRule type="expression" dxfId="672" priority="608">
      <formula>$B188="Please confirm that the details entered into the Entry Form are correct"</formula>
    </cfRule>
  </conditionalFormatting>
  <conditionalFormatting sqref="B190:C190">
    <cfRule type="expression" dxfId="671" priority="613">
      <formula>$B190&lt;&gt;"Type provider name manually"</formula>
    </cfRule>
  </conditionalFormatting>
  <conditionalFormatting sqref="A187:A191">
    <cfRule type="expression" dxfId="670" priority="604">
      <formula>$B$1="Legal Services Expenditure Report 2020-21"</formula>
    </cfRule>
  </conditionalFormatting>
  <conditionalFormatting sqref="A192:C192">
    <cfRule type="expression" dxfId="669" priority="603">
      <formula>$B191&lt;&gt;"Total value of expenditure"</formula>
    </cfRule>
  </conditionalFormatting>
  <conditionalFormatting sqref="B193:C193">
    <cfRule type="expression" dxfId="668" priority="602">
      <formula>$B193=""</formula>
    </cfRule>
  </conditionalFormatting>
  <conditionalFormatting sqref="C194 A194">
    <cfRule type="expression" dxfId="667" priority="601">
      <formula>$B194&lt;&gt;"Choose provider from the list"</formula>
    </cfRule>
  </conditionalFormatting>
  <conditionalFormatting sqref="B194">
    <cfRule type="expression" dxfId="666" priority="600">
      <formula>$B194&lt;&gt;"Choose provider from the list"</formula>
    </cfRule>
  </conditionalFormatting>
  <conditionalFormatting sqref="A195:C195">
    <cfRule type="expression" dxfId="665" priority="591">
      <formula>$B194&lt;&gt;"Choose provider from the list"</formula>
    </cfRule>
  </conditionalFormatting>
  <conditionalFormatting sqref="B196">
    <cfRule type="expression" dxfId="664" priority="592">
      <formula>$B196="Please revise entries or contact OLSC for assistance"</formula>
    </cfRule>
    <cfRule type="expression" dxfId="663" priority="593">
      <formula>$B196="Entry Form complete - proceed to Summary sheet"</formula>
    </cfRule>
    <cfRule type="expression" dxfId="662" priority="598">
      <formula>$B196&lt;&gt;"Total value of expenditure"</formula>
    </cfRule>
  </conditionalFormatting>
  <conditionalFormatting sqref="C196 A196">
    <cfRule type="expression" dxfId="661" priority="597">
      <formula>$B196&lt;&gt;"Total value of expenditure"</formula>
    </cfRule>
  </conditionalFormatting>
  <conditionalFormatting sqref="A193">
    <cfRule type="expression" dxfId="660" priority="596">
      <formula>$B193&lt;&gt;"Is another domestic provider required?"</formula>
    </cfRule>
  </conditionalFormatting>
  <conditionalFormatting sqref="B193">
    <cfRule type="expression" dxfId="659" priority="595">
      <formula>$B193="Please confirm that the details entered into the Entry Form are correct"</formula>
    </cfRule>
  </conditionalFormatting>
  <conditionalFormatting sqref="C193">
    <cfRule type="expression" dxfId="658" priority="594">
      <formula>$B193="Please confirm that the details entered into the Entry Form are correct"</formula>
    </cfRule>
  </conditionalFormatting>
  <conditionalFormatting sqref="B195:C195">
    <cfRule type="expression" dxfId="657" priority="599">
      <formula>$B195&lt;&gt;"Type provider name manually"</formula>
    </cfRule>
  </conditionalFormatting>
  <conditionalFormatting sqref="A192:A196">
    <cfRule type="expression" dxfId="656" priority="590">
      <formula>$B$1="Legal Services Expenditure Report 2020-21"</formula>
    </cfRule>
  </conditionalFormatting>
  <conditionalFormatting sqref="A197:C197">
    <cfRule type="expression" dxfId="655" priority="589">
      <formula>$B196&lt;&gt;"Total value of expenditure"</formula>
    </cfRule>
  </conditionalFormatting>
  <conditionalFormatting sqref="B198:C198">
    <cfRule type="expression" dxfId="654" priority="588">
      <formula>$B198=""</formula>
    </cfRule>
  </conditionalFormatting>
  <conditionalFormatting sqref="C199 A199">
    <cfRule type="expression" dxfId="653" priority="587">
      <formula>$B199&lt;&gt;"Choose provider from the list"</formula>
    </cfRule>
  </conditionalFormatting>
  <conditionalFormatting sqref="B199">
    <cfRule type="expression" dxfId="652" priority="586">
      <formula>$B199&lt;&gt;"Choose provider from the list"</formula>
    </cfRule>
  </conditionalFormatting>
  <conditionalFormatting sqref="A200:C200">
    <cfRule type="expression" dxfId="651" priority="577">
      <formula>$B199&lt;&gt;"Choose provider from the list"</formula>
    </cfRule>
  </conditionalFormatting>
  <conditionalFormatting sqref="B201">
    <cfRule type="expression" dxfId="650" priority="578">
      <formula>$B201="Please revise entries or contact OLSC for assistance"</formula>
    </cfRule>
    <cfRule type="expression" dxfId="649" priority="579">
      <formula>$B201="Entry Form complete - proceed to Summary sheet"</formula>
    </cfRule>
    <cfRule type="expression" dxfId="648" priority="584">
      <formula>$B201&lt;&gt;"Total value of expenditure"</formula>
    </cfRule>
  </conditionalFormatting>
  <conditionalFormatting sqref="C201 A201">
    <cfRule type="expression" dxfId="647" priority="583">
      <formula>$B201&lt;&gt;"Total value of expenditure"</formula>
    </cfRule>
  </conditionalFormatting>
  <conditionalFormatting sqref="A198">
    <cfRule type="expression" dxfId="646" priority="582">
      <formula>$B198&lt;&gt;"Is another domestic provider required?"</formula>
    </cfRule>
  </conditionalFormatting>
  <conditionalFormatting sqref="B198">
    <cfRule type="expression" dxfId="645" priority="581">
      <formula>$B198="Please confirm that the details entered into the Entry Form are correct"</formula>
    </cfRule>
  </conditionalFormatting>
  <conditionalFormatting sqref="C198">
    <cfRule type="expression" dxfId="644" priority="580">
      <formula>$B198="Please confirm that the details entered into the Entry Form are correct"</formula>
    </cfRule>
  </conditionalFormatting>
  <conditionalFormatting sqref="B200:C200">
    <cfRule type="expression" dxfId="643" priority="585">
      <formula>$B200&lt;&gt;"Type provider name manually"</formula>
    </cfRule>
  </conditionalFormatting>
  <conditionalFormatting sqref="A197:A201">
    <cfRule type="expression" dxfId="642" priority="576">
      <formula>$B$1="Legal Services Expenditure Report 2020-21"</formula>
    </cfRule>
  </conditionalFormatting>
  <conditionalFormatting sqref="A202:C202">
    <cfRule type="expression" dxfId="641" priority="575">
      <formula>$B201&lt;&gt;"Total value of expenditure"</formula>
    </cfRule>
  </conditionalFormatting>
  <conditionalFormatting sqref="B203:C203">
    <cfRule type="expression" dxfId="640" priority="574">
      <formula>$B203=""</formula>
    </cfRule>
  </conditionalFormatting>
  <conditionalFormatting sqref="C204 A204">
    <cfRule type="expression" dxfId="639" priority="573">
      <formula>$B204&lt;&gt;"Choose provider from the list"</formula>
    </cfRule>
  </conditionalFormatting>
  <conditionalFormatting sqref="B204">
    <cfRule type="expression" dxfId="638" priority="572">
      <formula>$B204&lt;&gt;"Choose provider from the list"</formula>
    </cfRule>
  </conditionalFormatting>
  <conditionalFormatting sqref="A205:C205">
    <cfRule type="expression" dxfId="637" priority="563">
      <formula>$B204&lt;&gt;"Choose provider from the list"</formula>
    </cfRule>
  </conditionalFormatting>
  <conditionalFormatting sqref="B206">
    <cfRule type="expression" dxfId="636" priority="564">
      <formula>$B206="Please revise entries or contact OLSC for assistance"</formula>
    </cfRule>
    <cfRule type="expression" dxfId="635" priority="565">
      <formula>$B206="Entry Form complete - proceed to Summary sheet"</formula>
    </cfRule>
    <cfRule type="expression" dxfId="634" priority="570">
      <formula>$B206&lt;&gt;"Total value of expenditure"</formula>
    </cfRule>
  </conditionalFormatting>
  <conditionalFormatting sqref="C206 A206">
    <cfRule type="expression" dxfId="633" priority="569">
      <formula>$B206&lt;&gt;"Total value of expenditure"</formula>
    </cfRule>
  </conditionalFormatting>
  <conditionalFormatting sqref="A203">
    <cfRule type="expression" dxfId="632" priority="568">
      <formula>$B203&lt;&gt;"Is another domestic provider required?"</formula>
    </cfRule>
  </conditionalFormatting>
  <conditionalFormatting sqref="B203">
    <cfRule type="expression" dxfId="631" priority="567">
      <formula>$B203="Please confirm that the details entered into the Entry Form are correct"</formula>
    </cfRule>
  </conditionalFormatting>
  <conditionalFormatting sqref="C203">
    <cfRule type="expression" dxfId="630" priority="566">
      <formula>$B203="Please confirm that the details entered into the Entry Form are correct"</formula>
    </cfRule>
  </conditionalFormatting>
  <conditionalFormatting sqref="B205:C205">
    <cfRule type="expression" dxfId="629" priority="571">
      <formula>$B205&lt;&gt;"Type provider name manually"</formula>
    </cfRule>
  </conditionalFormatting>
  <conditionalFormatting sqref="A202:A206">
    <cfRule type="expression" dxfId="628" priority="562">
      <formula>$B$1="Legal Services Expenditure Report 2020-21"</formula>
    </cfRule>
  </conditionalFormatting>
  <conditionalFormatting sqref="A207:C207">
    <cfRule type="expression" dxfId="627" priority="561">
      <formula>$B206&lt;&gt;"Total value of expenditure"</formula>
    </cfRule>
  </conditionalFormatting>
  <conditionalFormatting sqref="B208:C208">
    <cfRule type="expression" dxfId="626" priority="560">
      <formula>$B208=""</formula>
    </cfRule>
  </conditionalFormatting>
  <conditionalFormatting sqref="C209 A209">
    <cfRule type="expression" dxfId="625" priority="559">
      <formula>$B209&lt;&gt;"Choose provider from the list"</formula>
    </cfRule>
  </conditionalFormatting>
  <conditionalFormatting sqref="B209">
    <cfRule type="expression" dxfId="624" priority="558">
      <formula>$B209&lt;&gt;"Choose provider from the list"</formula>
    </cfRule>
  </conditionalFormatting>
  <conditionalFormatting sqref="A210:C210">
    <cfRule type="expression" dxfId="623" priority="549">
      <formula>$B209&lt;&gt;"Choose provider from the list"</formula>
    </cfRule>
  </conditionalFormatting>
  <conditionalFormatting sqref="B211">
    <cfRule type="expression" dxfId="622" priority="550">
      <formula>$B211="Please revise entries or contact OLSC for assistance"</formula>
    </cfRule>
    <cfRule type="expression" dxfId="621" priority="551">
      <formula>$B211="Entry Form complete - proceed to Summary sheet"</formula>
    </cfRule>
    <cfRule type="expression" dxfId="620" priority="556">
      <formula>$B211&lt;&gt;"Total value of expenditure"</formula>
    </cfRule>
  </conditionalFormatting>
  <conditionalFormatting sqref="C211 A211">
    <cfRule type="expression" dxfId="619" priority="555">
      <formula>$B211&lt;&gt;"Total value of expenditure"</formula>
    </cfRule>
  </conditionalFormatting>
  <conditionalFormatting sqref="A208">
    <cfRule type="expression" dxfId="618" priority="554">
      <formula>$B208&lt;&gt;"Is another domestic provider required?"</formula>
    </cfRule>
  </conditionalFormatting>
  <conditionalFormatting sqref="B208">
    <cfRule type="expression" dxfId="617" priority="553">
      <formula>$B208="Please confirm that the details entered into the Entry Form are correct"</formula>
    </cfRule>
  </conditionalFormatting>
  <conditionalFormatting sqref="C208">
    <cfRule type="expression" dxfId="616" priority="552">
      <formula>$B208="Please confirm that the details entered into the Entry Form are correct"</formula>
    </cfRule>
  </conditionalFormatting>
  <conditionalFormatting sqref="B210:C210">
    <cfRule type="expression" dxfId="615" priority="557">
      <formula>$B210&lt;&gt;"Type provider name manually"</formula>
    </cfRule>
  </conditionalFormatting>
  <conditionalFormatting sqref="A207:A211">
    <cfRule type="expression" dxfId="614" priority="548">
      <formula>$B$1="Legal Services Expenditure Report 2020-21"</formula>
    </cfRule>
  </conditionalFormatting>
  <conditionalFormatting sqref="A212:C212">
    <cfRule type="expression" dxfId="613" priority="547">
      <formula>$B211&lt;&gt;"Total value of expenditure"</formula>
    </cfRule>
  </conditionalFormatting>
  <conditionalFormatting sqref="B213:C213">
    <cfRule type="expression" dxfId="612" priority="546">
      <formula>$B213=""</formula>
    </cfRule>
  </conditionalFormatting>
  <conditionalFormatting sqref="C214 A214">
    <cfRule type="expression" dxfId="611" priority="545">
      <formula>$B214&lt;&gt;"Choose provider from the list"</formula>
    </cfRule>
  </conditionalFormatting>
  <conditionalFormatting sqref="B214">
    <cfRule type="expression" dxfId="610" priority="544">
      <formula>$B214&lt;&gt;"Choose provider from the list"</formula>
    </cfRule>
  </conditionalFormatting>
  <conditionalFormatting sqref="A215:C215">
    <cfRule type="expression" dxfId="609" priority="535">
      <formula>$B214&lt;&gt;"Choose provider from the list"</formula>
    </cfRule>
  </conditionalFormatting>
  <conditionalFormatting sqref="B216">
    <cfRule type="expression" dxfId="608" priority="536">
      <formula>$B216="Please revise entries or contact OLSC for assistance"</formula>
    </cfRule>
    <cfRule type="expression" dxfId="607" priority="537">
      <formula>$B216="Entry Form complete - proceed to Summary sheet"</formula>
    </cfRule>
    <cfRule type="expression" dxfId="606" priority="542">
      <formula>$B216&lt;&gt;"Total value of expenditure"</formula>
    </cfRule>
  </conditionalFormatting>
  <conditionalFormatting sqref="C216 A216">
    <cfRule type="expression" dxfId="605" priority="541">
      <formula>$B216&lt;&gt;"Total value of expenditure"</formula>
    </cfRule>
  </conditionalFormatting>
  <conditionalFormatting sqref="A213">
    <cfRule type="expression" dxfId="604" priority="540">
      <formula>$B213&lt;&gt;"Is another domestic provider required?"</formula>
    </cfRule>
  </conditionalFormatting>
  <conditionalFormatting sqref="B213">
    <cfRule type="expression" dxfId="603" priority="539">
      <formula>$B213="Please confirm that the details entered into the Entry Form are correct"</formula>
    </cfRule>
  </conditionalFormatting>
  <conditionalFormatting sqref="C213">
    <cfRule type="expression" dxfId="602" priority="538">
      <formula>$B213="Please confirm that the details entered into the Entry Form are correct"</formula>
    </cfRule>
  </conditionalFormatting>
  <conditionalFormatting sqref="B215:C215">
    <cfRule type="expression" dxfId="601" priority="543">
      <formula>$B215&lt;&gt;"Type provider name manually"</formula>
    </cfRule>
  </conditionalFormatting>
  <conditionalFormatting sqref="A212:A216">
    <cfRule type="expression" dxfId="600" priority="534">
      <formula>$B$1="Legal Services Expenditure Report 2020-21"</formula>
    </cfRule>
  </conditionalFormatting>
  <conditionalFormatting sqref="A217:C217">
    <cfRule type="expression" dxfId="599" priority="533">
      <formula>$B216&lt;&gt;"Total value of expenditure"</formula>
    </cfRule>
  </conditionalFormatting>
  <conditionalFormatting sqref="B218:C218">
    <cfRule type="expression" dxfId="598" priority="532">
      <formula>$B218=""</formula>
    </cfRule>
  </conditionalFormatting>
  <conditionalFormatting sqref="C219 A219">
    <cfRule type="expression" dxfId="597" priority="531">
      <formula>$B219&lt;&gt;"Choose provider from the list"</formula>
    </cfRule>
  </conditionalFormatting>
  <conditionalFormatting sqref="B219">
    <cfRule type="expression" dxfId="596" priority="530">
      <formula>$B219&lt;&gt;"Choose provider from the list"</formula>
    </cfRule>
  </conditionalFormatting>
  <conditionalFormatting sqref="A220:C220">
    <cfRule type="expression" dxfId="595" priority="521">
      <formula>$B219&lt;&gt;"Choose provider from the list"</formula>
    </cfRule>
  </conditionalFormatting>
  <conditionalFormatting sqref="B221">
    <cfRule type="expression" dxfId="594" priority="522">
      <formula>$B221="Please revise entries or contact OLSC for assistance"</formula>
    </cfRule>
    <cfRule type="expression" dxfId="593" priority="523">
      <formula>$B221="Entry Form complete - proceed to Summary sheet"</formula>
    </cfRule>
    <cfRule type="expression" dxfId="592" priority="528">
      <formula>$B221&lt;&gt;"Total value of expenditure"</formula>
    </cfRule>
  </conditionalFormatting>
  <conditionalFormatting sqref="C221 A221">
    <cfRule type="expression" dxfId="591" priority="527">
      <formula>$B221&lt;&gt;"Total value of expenditure"</formula>
    </cfRule>
  </conditionalFormatting>
  <conditionalFormatting sqref="A218">
    <cfRule type="expression" dxfId="590" priority="526">
      <formula>$B218&lt;&gt;"Is another domestic provider required?"</formula>
    </cfRule>
  </conditionalFormatting>
  <conditionalFormatting sqref="B218">
    <cfRule type="expression" dxfId="589" priority="525">
      <formula>$B218="Please confirm that the details entered into the Entry Form are correct"</formula>
    </cfRule>
  </conditionalFormatting>
  <conditionalFormatting sqref="C218">
    <cfRule type="expression" dxfId="588" priority="524">
      <formula>$B218="Please confirm that the details entered into the Entry Form are correct"</formula>
    </cfRule>
  </conditionalFormatting>
  <conditionalFormatting sqref="B220:C220">
    <cfRule type="expression" dxfId="587" priority="529">
      <formula>$B220&lt;&gt;"Type provider name manually"</formula>
    </cfRule>
  </conditionalFormatting>
  <conditionalFormatting sqref="A217:A221">
    <cfRule type="expression" dxfId="586" priority="520">
      <formula>$B$1="Legal Services Expenditure Report 2020-21"</formula>
    </cfRule>
  </conditionalFormatting>
  <conditionalFormatting sqref="A222:C222">
    <cfRule type="expression" dxfId="585" priority="519">
      <formula>$B221&lt;&gt;"Total value of expenditure"</formula>
    </cfRule>
  </conditionalFormatting>
  <conditionalFormatting sqref="B223:C223">
    <cfRule type="expression" dxfId="584" priority="518">
      <formula>$B223=""</formula>
    </cfRule>
  </conditionalFormatting>
  <conditionalFormatting sqref="C224 A224">
    <cfRule type="expression" dxfId="583" priority="517">
      <formula>$B224&lt;&gt;"Choose provider from the list"</formula>
    </cfRule>
  </conditionalFormatting>
  <conditionalFormatting sqref="B224">
    <cfRule type="expression" dxfId="582" priority="516">
      <formula>$B224&lt;&gt;"Choose provider from the list"</formula>
    </cfRule>
  </conditionalFormatting>
  <conditionalFormatting sqref="A225:C225">
    <cfRule type="expression" dxfId="581" priority="507">
      <formula>$B224&lt;&gt;"Choose provider from the list"</formula>
    </cfRule>
  </conditionalFormatting>
  <conditionalFormatting sqref="B226">
    <cfRule type="expression" dxfId="580" priority="508">
      <formula>$B226="Please revise entries or contact OLSC for assistance"</formula>
    </cfRule>
    <cfRule type="expression" dxfId="579" priority="509">
      <formula>$B226="Entry Form complete - proceed to Summary sheet"</formula>
    </cfRule>
    <cfRule type="expression" dxfId="578" priority="514">
      <formula>$B226&lt;&gt;"Total value of expenditure"</formula>
    </cfRule>
  </conditionalFormatting>
  <conditionalFormatting sqref="C226 A226">
    <cfRule type="expression" dxfId="577" priority="513">
      <formula>$B226&lt;&gt;"Total value of expenditure"</formula>
    </cfRule>
  </conditionalFormatting>
  <conditionalFormatting sqref="A223">
    <cfRule type="expression" dxfId="576" priority="512">
      <formula>$B223&lt;&gt;"Is another domestic provider required?"</formula>
    </cfRule>
  </conditionalFormatting>
  <conditionalFormatting sqref="B223">
    <cfRule type="expression" dxfId="575" priority="511">
      <formula>$B223="Please confirm that the details entered into the Entry Form are correct"</formula>
    </cfRule>
  </conditionalFormatting>
  <conditionalFormatting sqref="C223">
    <cfRule type="expression" dxfId="574" priority="510">
      <formula>$B223="Please confirm that the details entered into the Entry Form are correct"</formula>
    </cfRule>
  </conditionalFormatting>
  <conditionalFormatting sqref="B225:C225">
    <cfRule type="expression" dxfId="573" priority="515">
      <formula>$B225&lt;&gt;"Type provider name manually"</formula>
    </cfRule>
  </conditionalFormatting>
  <conditionalFormatting sqref="A222:A226">
    <cfRule type="expression" dxfId="572" priority="506">
      <formula>$B$1="Legal Services Expenditure Report 2020-21"</formula>
    </cfRule>
  </conditionalFormatting>
  <conditionalFormatting sqref="A227:C227">
    <cfRule type="expression" dxfId="571" priority="505">
      <formula>$B226&lt;&gt;"Total value of expenditure"</formula>
    </cfRule>
  </conditionalFormatting>
  <conditionalFormatting sqref="B228:C228">
    <cfRule type="expression" dxfId="570" priority="504">
      <formula>$B228=""</formula>
    </cfRule>
  </conditionalFormatting>
  <conditionalFormatting sqref="C229 A229">
    <cfRule type="expression" dxfId="569" priority="503">
      <formula>$B229&lt;&gt;"Choose provider from the list"</formula>
    </cfRule>
  </conditionalFormatting>
  <conditionalFormatting sqref="B229">
    <cfRule type="expression" dxfId="568" priority="502">
      <formula>$B229&lt;&gt;"Choose provider from the list"</formula>
    </cfRule>
  </conditionalFormatting>
  <conditionalFormatting sqref="A230:C230">
    <cfRule type="expression" dxfId="567" priority="493">
      <formula>$B229&lt;&gt;"Choose provider from the list"</formula>
    </cfRule>
  </conditionalFormatting>
  <conditionalFormatting sqref="B231">
    <cfRule type="expression" dxfId="566" priority="494">
      <formula>$B231="Please revise entries or contact OLSC for assistance"</formula>
    </cfRule>
    <cfRule type="expression" dxfId="565" priority="495">
      <formula>$B231="Entry Form complete - proceed to Summary sheet"</formula>
    </cfRule>
    <cfRule type="expression" dxfId="564" priority="500">
      <formula>$B231&lt;&gt;"Total value of expenditure"</formula>
    </cfRule>
  </conditionalFormatting>
  <conditionalFormatting sqref="C231 A231">
    <cfRule type="expression" dxfId="563" priority="499">
      <formula>$B231&lt;&gt;"Total value of expenditure"</formula>
    </cfRule>
  </conditionalFormatting>
  <conditionalFormatting sqref="A228">
    <cfRule type="expression" dxfId="562" priority="498">
      <formula>$B228&lt;&gt;"Is another domestic provider required?"</formula>
    </cfRule>
  </conditionalFormatting>
  <conditionalFormatting sqref="B228">
    <cfRule type="expression" dxfId="561" priority="497">
      <formula>$B228="Please confirm that the details entered into the Entry Form are correct"</formula>
    </cfRule>
  </conditionalFormatting>
  <conditionalFormatting sqref="C228">
    <cfRule type="expression" dxfId="560" priority="496">
      <formula>$B228="Please confirm that the details entered into the Entry Form are correct"</formula>
    </cfRule>
  </conditionalFormatting>
  <conditionalFormatting sqref="B230:C230">
    <cfRule type="expression" dxfId="559" priority="501">
      <formula>$B230&lt;&gt;"Type provider name manually"</formula>
    </cfRule>
  </conditionalFormatting>
  <conditionalFormatting sqref="A227:A231">
    <cfRule type="expression" dxfId="558" priority="492">
      <formula>$B$1="Legal Services Expenditure Report 2020-21"</formula>
    </cfRule>
  </conditionalFormatting>
  <conditionalFormatting sqref="A232:C232">
    <cfRule type="expression" dxfId="557" priority="491">
      <formula>$B231&lt;&gt;"Total value of expenditure"</formula>
    </cfRule>
  </conditionalFormatting>
  <conditionalFormatting sqref="B233:C233">
    <cfRule type="expression" dxfId="556" priority="490">
      <formula>$B233=""</formula>
    </cfRule>
  </conditionalFormatting>
  <conditionalFormatting sqref="C234 A234">
    <cfRule type="expression" dxfId="555" priority="489">
      <formula>$B234&lt;&gt;"Choose provider from the list"</formula>
    </cfRule>
  </conditionalFormatting>
  <conditionalFormatting sqref="B234">
    <cfRule type="expression" dxfId="554" priority="488">
      <formula>$B234&lt;&gt;"Choose provider from the list"</formula>
    </cfRule>
  </conditionalFormatting>
  <conditionalFormatting sqref="A235:C235">
    <cfRule type="expression" dxfId="553" priority="479">
      <formula>$B234&lt;&gt;"Choose provider from the list"</formula>
    </cfRule>
  </conditionalFormatting>
  <conditionalFormatting sqref="B236">
    <cfRule type="expression" dxfId="552" priority="480">
      <formula>$B236="Please revise entries or contact OLSC for assistance"</formula>
    </cfRule>
    <cfRule type="expression" dxfId="551" priority="481">
      <formula>$B236="Entry Form complete - proceed to Summary sheet"</formula>
    </cfRule>
    <cfRule type="expression" dxfId="550" priority="486">
      <formula>$B236&lt;&gt;"Total value of expenditure"</formula>
    </cfRule>
  </conditionalFormatting>
  <conditionalFormatting sqref="C236 A236">
    <cfRule type="expression" dxfId="549" priority="485">
      <formula>$B236&lt;&gt;"Total value of expenditure"</formula>
    </cfRule>
  </conditionalFormatting>
  <conditionalFormatting sqref="A233">
    <cfRule type="expression" dxfId="548" priority="484">
      <formula>$B233&lt;&gt;"Is another domestic provider required?"</formula>
    </cfRule>
  </conditionalFormatting>
  <conditionalFormatting sqref="B233">
    <cfRule type="expression" dxfId="547" priority="483">
      <formula>$B233="Please confirm that the details entered into the Entry Form are correct"</formula>
    </cfRule>
  </conditionalFormatting>
  <conditionalFormatting sqref="C233">
    <cfRule type="expression" dxfId="546" priority="482">
      <formula>$B233="Please confirm that the details entered into the Entry Form are correct"</formula>
    </cfRule>
  </conditionalFormatting>
  <conditionalFormatting sqref="B235:C235">
    <cfRule type="expression" dxfId="545" priority="487">
      <formula>$B235&lt;&gt;"Type provider name manually"</formula>
    </cfRule>
  </conditionalFormatting>
  <conditionalFormatting sqref="A232:A236">
    <cfRule type="expression" dxfId="544" priority="478">
      <formula>$B$1="Legal Services Expenditure Report 2020-21"</formula>
    </cfRule>
  </conditionalFormatting>
  <conditionalFormatting sqref="A237:C237">
    <cfRule type="expression" dxfId="543" priority="477">
      <formula>$B236&lt;&gt;"Total value of expenditure"</formula>
    </cfRule>
  </conditionalFormatting>
  <conditionalFormatting sqref="B238:C238">
    <cfRule type="expression" dxfId="542" priority="476">
      <formula>$B238=""</formula>
    </cfRule>
  </conditionalFormatting>
  <conditionalFormatting sqref="C239 A239">
    <cfRule type="expression" dxfId="541" priority="475">
      <formula>$B239&lt;&gt;"Choose provider from the list"</formula>
    </cfRule>
  </conditionalFormatting>
  <conditionalFormatting sqref="B239">
    <cfRule type="expression" dxfId="540" priority="474">
      <formula>$B239&lt;&gt;"Choose provider from the list"</formula>
    </cfRule>
  </conditionalFormatting>
  <conditionalFormatting sqref="A240:C240">
    <cfRule type="expression" dxfId="539" priority="465">
      <formula>$B239&lt;&gt;"Choose provider from the list"</formula>
    </cfRule>
  </conditionalFormatting>
  <conditionalFormatting sqref="B241">
    <cfRule type="expression" dxfId="538" priority="466">
      <formula>$B241="Please revise entries or contact OLSC for assistance"</formula>
    </cfRule>
    <cfRule type="expression" dxfId="537" priority="467">
      <formula>$B241="Entry Form complete - proceed to Summary sheet"</formula>
    </cfRule>
    <cfRule type="expression" dxfId="536" priority="472">
      <formula>$B241&lt;&gt;"Total value of expenditure"</formula>
    </cfRule>
  </conditionalFormatting>
  <conditionalFormatting sqref="C241 A241">
    <cfRule type="expression" dxfId="535" priority="471">
      <formula>$B241&lt;&gt;"Total value of expenditure"</formula>
    </cfRule>
  </conditionalFormatting>
  <conditionalFormatting sqref="A238">
    <cfRule type="expression" dxfId="534" priority="470">
      <formula>$B238&lt;&gt;"Is another domestic provider required?"</formula>
    </cfRule>
  </conditionalFormatting>
  <conditionalFormatting sqref="B238">
    <cfRule type="expression" dxfId="533" priority="469">
      <formula>$B238="Please confirm that the details entered into the Entry Form are correct"</formula>
    </cfRule>
  </conditionalFormatting>
  <conditionalFormatting sqref="C238">
    <cfRule type="expression" dxfId="532" priority="468">
      <formula>$B238="Please confirm that the details entered into the Entry Form are correct"</formula>
    </cfRule>
  </conditionalFormatting>
  <conditionalFormatting sqref="B240:C240">
    <cfRule type="expression" dxfId="531" priority="473">
      <formula>$B240&lt;&gt;"Type provider name manually"</formula>
    </cfRule>
  </conditionalFormatting>
  <conditionalFormatting sqref="A237:A241">
    <cfRule type="expression" dxfId="530" priority="464">
      <formula>$B$1="Legal Services Expenditure Report 2020-21"</formula>
    </cfRule>
  </conditionalFormatting>
  <conditionalFormatting sqref="A242:C242">
    <cfRule type="expression" dxfId="529" priority="463">
      <formula>$B241&lt;&gt;"Total value of expenditure"</formula>
    </cfRule>
  </conditionalFormatting>
  <conditionalFormatting sqref="B243:C243">
    <cfRule type="expression" dxfId="528" priority="462">
      <formula>$B243=""</formula>
    </cfRule>
  </conditionalFormatting>
  <conditionalFormatting sqref="C244 A244">
    <cfRule type="expression" dxfId="527" priority="461">
      <formula>$B244&lt;&gt;"Choose provider from the list"</formula>
    </cfRule>
  </conditionalFormatting>
  <conditionalFormatting sqref="B244">
    <cfRule type="expression" dxfId="526" priority="460">
      <formula>$B244&lt;&gt;"Choose provider from the list"</formula>
    </cfRule>
  </conditionalFormatting>
  <conditionalFormatting sqref="A245:C245">
    <cfRule type="expression" dxfId="525" priority="451">
      <formula>$B244&lt;&gt;"Choose provider from the list"</formula>
    </cfRule>
  </conditionalFormatting>
  <conditionalFormatting sqref="B246">
    <cfRule type="expression" dxfId="524" priority="452">
      <formula>$B246="Please revise entries or contact OLSC for assistance"</formula>
    </cfRule>
    <cfRule type="expression" dxfId="523" priority="453">
      <formula>$B246="Entry Form complete - proceed to Summary sheet"</formula>
    </cfRule>
    <cfRule type="expression" dxfId="522" priority="458">
      <formula>$B246&lt;&gt;"Total value of expenditure"</formula>
    </cfRule>
  </conditionalFormatting>
  <conditionalFormatting sqref="C246 A246">
    <cfRule type="expression" dxfId="521" priority="457">
      <formula>$B246&lt;&gt;"Total value of expenditure"</formula>
    </cfRule>
  </conditionalFormatting>
  <conditionalFormatting sqref="A243">
    <cfRule type="expression" dxfId="520" priority="456">
      <formula>$B243&lt;&gt;"Is another domestic provider required?"</formula>
    </cfRule>
  </conditionalFormatting>
  <conditionalFormatting sqref="B243">
    <cfRule type="expression" dxfId="519" priority="455">
      <formula>$B243="Please confirm that the details entered into the Entry Form are correct"</formula>
    </cfRule>
  </conditionalFormatting>
  <conditionalFormatting sqref="C243">
    <cfRule type="expression" dxfId="518" priority="454">
      <formula>$B243="Please confirm that the details entered into the Entry Form are correct"</formula>
    </cfRule>
  </conditionalFormatting>
  <conditionalFormatting sqref="B245:C245">
    <cfRule type="expression" dxfId="517" priority="459">
      <formula>$B245&lt;&gt;"Type provider name manually"</formula>
    </cfRule>
  </conditionalFormatting>
  <conditionalFormatting sqref="A242:A246">
    <cfRule type="expression" dxfId="516" priority="450">
      <formula>$B$1="Legal Services Expenditure Report 2020-21"</formula>
    </cfRule>
  </conditionalFormatting>
  <conditionalFormatting sqref="A247:C247">
    <cfRule type="expression" dxfId="515" priority="449">
      <formula>$B246&lt;&gt;"Total value of expenditure"</formula>
    </cfRule>
  </conditionalFormatting>
  <conditionalFormatting sqref="B248:C248">
    <cfRule type="expression" dxfId="514" priority="448">
      <formula>$B248=""</formula>
    </cfRule>
  </conditionalFormatting>
  <conditionalFormatting sqref="C249 A249">
    <cfRule type="expression" dxfId="513" priority="447">
      <formula>$B249&lt;&gt;"Choose provider from the list"</formula>
    </cfRule>
  </conditionalFormatting>
  <conditionalFormatting sqref="B249">
    <cfRule type="expression" dxfId="512" priority="446">
      <formula>$B249&lt;&gt;"Choose provider from the list"</formula>
    </cfRule>
  </conditionalFormatting>
  <conditionalFormatting sqref="A250:C250">
    <cfRule type="expression" dxfId="511" priority="437">
      <formula>$B249&lt;&gt;"Choose provider from the list"</formula>
    </cfRule>
  </conditionalFormatting>
  <conditionalFormatting sqref="B251">
    <cfRule type="expression" dxfId="510" priority="438">
      <formula>$B251="Please revise entries or contact OLSC for assistance"</formula>
    </cfRule>
    <cfRule type="expression" dxfId="509" priority="439">
      <formula>$B251="Entry Form complete - proceed to Summary sheet"</formula>
    </cfRule>
    <cfRule type="expression" dxfId="508" priority="444">
      <formula>$B251&lt;&gt;"Total value of expenditure"</formula>
    </cfRule>
  </conditionalFormatting>
  <conditionalFormatting sqref="C251 A251">
    <cfRule type="expression" dxfId="507" priority="443">
      <formula>$B251&lt;&gt;"Total value of expenditure"</formula>
    </cfRule>
  </conditionalFormatting>
  <conditionalFormatting sqref="A248">
    <cfRule type="expression" dxfId="506" priority="442">
      <formula>$B248&lt;&gt;"Is another domestic provider required?"</formula>
    </cfRule>
  </conditionalFormatting>
  <conditionalFormatting sqref="B248">
    <cfRule type="expression" dxfId="505" priority="441">
      <formula>$B248="Please confirm that the details entered into the Entry Form are correct"</formula>
    </cfRule>
  </conditionalFormatting>
  <conditionalFormatting sqref="C248">
    <cfRule type="expression" dxfId="504" priority="440">
      <formula>$B248="Please confirm that the details entered into the Entry Form are correct"</formula>
    </cfRule>
  </conditionalFormatting>
  <conditionalFormatting sqref="B250:C250">
    <cfRule type="expression" dxfId="503" priority="445">
      <formula>$B250&lt;&gt;"Type provider name manually"</formula>
    </cfRule>
  </conditionalFormatting>
  <conditionalFormatting sqref="A247:A251">
    <cfRule type="expression" dxfId="502" priority="436">
      <formula>$B$1="Legal Services Expenditure Report 2020-21"</formula>
    </cfRule>
  </conditionalFormatting>
  <conditionalFormatting sqref="A252:C252">
    <cfRule type="expression" dxfId="501" priority="435">
      <formula>$B251&lt;&gt;"Total value of expenditure"</formula>
    </cfRule>
  </conditionalFormatting>
  <conditionalFormatting sqref="B253:C253">
    <cfRule type="expression" dxfId="500" priority="434">
      <formula>$B253=""</formula>
    </cfRule>
  </conditionalFormatting>
  <conditionalFormatting sqref="C254 A254">
    <cfRule type="expression" dxfId="499" priority="433">
      <formula>$B254&lt;&gt;"Choose provider from the list"</formula>
    </cfRule>
  </conditionalFormatting>
  <conditionalFormatting sqref="B254">
    <cfRule type="expression" dxfId="498" priority="432">
      <formula>$B254&lt;&gt;"Choose provider from the list"</formula>
    </cfRule>
  </conditionalFormatting>
  <conditionalFormatting sqref="A255:C255">
    <cfRule type="expression" dxfId="497" priority="423">
      <formula>$B254&lt;&gt;"Choose provider from the list"</formula>
    </cfRule>
  </conditionalFormatting>
  <conditionalFormatting sqref="B256">
    <cfRule type="expression" dxfId="496" priority="424">
      <formula>$B256="Please revise entries or contact OLSC for assistance"</formula>
    </cfRule>
    <cfRule type="expression" dxfId="495" priority="425">
      <formula>$B256="Entry Form complete - proceed to Summary sheet"</formula>
    </cfRule>
    <cfRule type="expression" dxfId="494" priority="430">
      <formula>$B256&lt;&gt;"Total value of expenditure"</formula>
    </cfRule>
  </conditionalFormatting>
  <conditionalFormatting sqref="C256 A256">
    <cfRule type="expression" dxfId="493" priority="429">
      <formula>$B256&lt;&gt;"Total value of expenditure"</formula>
    </cfRule>
  </conditionalFormatting>
  <conditionalFormatting sqref="A253">
    <cfRule type="expression" dxfId="492" priority="428">
      <formula>$B253&lt;&gt;"Is another domestic provider required?"</formula>
    </cfRule>
  </conditionalFormatting>
  <conditionalFormatting sqref="B253">
    <cfRule type="expression" dxfId="491" priority="427">
      <formula>$B253="Please confirm that the details entered into the Entry Form are correct"</formula>
    </cfRule>
  </conditionalFormatting>
  <conditionalFormatting sqref="C253">
    <cfRule type="expression" dxfId="490" priority="426">
      <formula>$B253="Please confirm that the details entered into the Entry Form are correct"</formula>
    </cfRule>
  </conditionalFormatting>
  <conditionalFormatting sqref="B255:C255">
    <cfRule type="expression" dxfId="489" priority="431">
      <formula>$B255&lt;&gt;"Type provider name manually"</formula>
    </cfRule>
  </conditionalFormatting>
  <conditionalFormatting sqref="A252:A256">
    <cfRule type="expression" dxfId="488" priority="422">
      <formula>$B$1="Legal Services Expenditure Report 2020-21"</formula>
    </cfRule>
  </conditionalFormatting>
  <conditionalFormatting sqref="A257:C257">
    <cfRule type="expression" dxfId="487" priority="421">
      <formula>$B256&lt;&gt;"Total value of expenditure"</formula>
    </cfRule>
  </conditionalFormatting>
  <conditionalFormatting sqref="B258:C258">
    <cfRule type="expression" dxfId="486" priority="420">
      <formula>$B258=""</formula>
    </cfRule>
  </conditionalFormatting>
  <conditionalFormatting sqref="C259 A259">
    <cfRule type="expression" dxfId="485" priority="419">
      <formula>$B259&lt;&gt;"Choose provider from the list"</formula>
    </cfRule>
  </conditionalFormatting>
  <conditionalFormatting sqref="B259">
    <cfRule type="expression" dxfId="484" priority="418">
      <formula>$B259&lt;&gt;"Choose provider from the list"</formula>
    </cfRule>
  </conditionalFormatting>
  <conditionalFormatting sqref="A260:C260">
    <cfRule type="expression" dxfId="483" priority="409">
      <formula>$B259&lt;&gt;"Choose provider from the list"</formula>
    </cfRule>
  </conditionalFormatting>
  <conditionalFormatting sqref="B261">
    <cfRule type="expression" dxfId="482" priority="410">
      <formula>$B261="Please revise entries or contact OLSC for assistance"</formula>
    </cfRule>
    <cfRule type="expression" dxfId="481" priority="411">
      <formula>$B261="Entry Form complete - proceed to Summary sheet"</formula>
    </cfRule>
    <cfRule type="expression" dxfId="480" priority="416">
      <formula>$B261&lt;&gt;"Total value of expenditure"</formula>
    </cfRule>
  </conditionalFormatting>
  <conditionalFormatting sqref="C261 A261">
    <cfRule type="expression" dxfId="479" priority="415">
      <formula>$B261&lt;&gt;"Total value of expenditure"</formula>
    </cfRule>
  </conditionalFormatting>
  <conditionalFormatting sqref="A258">
    <cfRule type="expression" dxfId="478" priority="414">
      <formula>$B258&lt;&gt;"Is another domestic provider required?"</formula>
    </cfRule>
  </conditionalFormatting>
  <conditionalFormatting sqref="B258">
    <cfRule type="expression" dxfId="477" priority="413">
      <formula>$B258="Please confirm that the details entered into the Entry Form are correct"</formula>
    </cfRule>
  </conditionalFormatting>
  <conditionalFormatting sqref="C258">
    <cfRule type="expression" dxfId="476" priority="412">
      <formula>$B258="Please confirm that the details entered into the Entry Form are correct"</formula>
    </cfRule>
  </conditionalFormatting>
  <conditionalFormatting sqref="B260:C260">
    <cfRule type="expression" dxfId="475" priority="417">
      <formula>$B260&lt;&gt;"Type provider name manually"</formula>
    </cfRule>
  </conditionalFormatting>
  <conditionalFormatting sqref="A257:A261">
    <cfRule type="expression" dxfId="474" priority="408">
      <formula>$B$1="Legal Services Expenditure Report 2020-21"</formula>
    </cfRule>
  </conditionalFormatting>
  <conditionalFormatting sqref="A262:C262">
    <cfRule type="expression" dxfId="473" priority="407">
      <formula>$B261&lt;&gt;"Total value of expenditure"</formula>
    </cfRule>
  </conditionalFormatting>
  <conditionalFormatting sqref="B263:C263">
    <cfRule type="expression" dxfId="472" priority="406">
      <formula>$B263=""</formula>
    </cfRule>
  </conditionalFormatting>
  <conditionalFormatting sqref="C264 A264">
    <cfRule type="expression" dxfId="471" priority="405">
      <formula>$B264&lt;&gt;"Choose provider from the list"</formula>
    </cfRule>
  </conditionalFormatting>
  <conditionalFormatting sqref="B264">
    <cfRule type="expression" dxfId="470" priority="404">
      <formula>$B264&lt;&gt;"Choose provider from the list"</formula>
    </cfRule>
  </conditionalFormatting>
  <conditionalFormatting sqref="A265:C265">
    <cfRule type="expression" dxfId="469" priority="395">
      <formula>$B264&lt;&gt;"Choose provider from the list"</formula>
    </cfRule>
  </conditionalFormatting>
  <conditionalFormatting sqref="B266">
    <cfRule type="expression" dxfId="468" priority="396">
      <formula>$B266="Please revise entries or contact OLSC for assistance"</formula>
    </cfRule>
    <cfRule type="expression" dxfId="467" priority="397">
      <formula>$B266="Entry Form complete - proceed to Summary sheet"</formula>
    </cfRule>
    <cfRule type="expression" dxfId="466" priority="402">
      <formula>$B266&lt;&gt;"Total value of expenditure"</formula>
    </cfRule>
  </conditionalFormatting>
  <conditionalFormatting sqref="C266 A266">
    <cfRule type="expression" dxfId="465" priority="401">
      <formula>$B266&lt;&gt;"Total value of expenditure"</formula>
    </cfRule>
  </conditionalFormatting>
  <conditionalFormatting sqref="A263">
    <cfRule type="expression" dxfId="464" priority="400">
      <formula>$B263&lt;&gt;"Is another domestic provider required?"</formula>
    </cfRule>
  </conditionalFormatting>
  <conditionalFormatting sqref="B263">
    <cfRule type="expression" dxfId="463" priority="399">
      <formula>$B263="Please confirm that the details entered into the Entry Form are correct"</formula>
    </cfRule>
  </conditionalFormatting>
  <conditionalFormatting sqref="C263">
    <cfRule type="expression" dxfId="462" priority="398">
      <formula>$B263="Please confirm that the details entered into the Entry Form are correct"</formula>
    </cfRule>
  </conditionalFormatting>
  <conditionalFormatting sqref="B265:C265">
    <cfRule type="expression" dxfId="461" priority="403">
      <formula>$B265&lt;&gt;"Type provider name manually"</formula>
    </cfRule>
  </conditionalFormatting>
  <conditionalFormatting sqref="A262:A266">
    <cfRule type="expression" dxfId="460" priority="394">
      <formula>$B$1="Legal Services Expenditure Report 2020-21"</formula>
    </cfRule>
  </conditionalFormatting>
  <conditionalFormatting sqref="A267:C267">
    <cfRule type="expression" dxfId="459" priority="393">
      <formula>$B266&lt;&gt;"Total value of expenditure"</formula>
    </cfRule>
  </conditionalFormatting>
  <conditionalFormatting sqref="B268:C268">
    <cfRule type="expression" dxfId="458" priority="392">
      <formula>$B268=""</formula>
    </cfRule>
  </conditionalFormatting>
  <conditionalFormatting sqref="C269 A269">
    <cfRule type="expression" dxfId="457" priority="391">
      <formula>$B269&lt;&gt;"Choose provider from the list"</formula>
    </cfRule>
  </conditionalFormatting>
  <conditionalFormatting sqref="B269">
    <cfRule type="expression" dxfId="456" priority="390">
      <formula>$B269&lt;&gt;"Choose provider from the list"</formula>
    </cfRule>
  </conditionalFormatting>
  <conditionalFormatting sqref="A270:C270">
    <cfRule type="expression" dxfId="455" priority="381">
      <formula>$B269&lt;&gt;"Choose provider from the list"</formula>
    </cfRule>
  </conditionalFormatting>
  <conditionalFormatting sqref="B271">
    <cfRule type="expression" dxfId="454" priority="382">
      <formula>$B271="Please revise entries or contact OLSC for assistance"</formula>
    </cfRule>
    <cfRule type="expression" dxfId="453" priority="383">
      <formula>$B271="Entry Form complete - proceed to Summary sheet"</formula>
    </cfRule>
    <cfRule type="expression" dxfId="452" priority="388">
      <formula>$B271&lt;&gt;"Total value of expenditure"</formula>
    </cfRule>
  </conditionalFormatting>
  <conditionalFormatting sqref="C271 A271">
    <cfRule type="expression" dxfId="451" priority="387">
      <formula>$B271&lt;&gt;"Total value of expenditure"</formula>
    </cfRule>
  </conditionalFormatting>
  <conditionalFormatting sqref="A268">
    <cfRule type="expression" dxfId="450" priority="386">
      <formula>$B268&lt;&gt;"Is another domestic provider required?"</formula>
    </cfRule>
  </conditionalFormatting>
  <conditionalFormatting sqref="B268">
    <cfRule type="expression" dxfId="449" priority="385">
      <formula>$B268="Please confirm that the details entered into the Entry Form are correct"</formula>
    </cfRule>
  </conditionalFormatting>
  <conditionalFormatting sqref="C268">
    <cfRule type="expression" dxfId="448" priority="384">
      <formula>$B268="Please confirm that the details entered into the Entry Form are correct"</formula>
    </cfRule>
  </conditionalFormatting>
  <conditionalFormatting sqref="B270:C270">
    <cfRule type="expression" dxfId="447" priority="389">
      <formula>$B270&lt;&gt;"Type provider name manually"</formula>
    </cfRule>
  </conditionalFormatting>
  <conditionalFormatting sqref="A267:A271">
    <cfRule type="expression" dxfId="446" priority="380">
      <formula>$B$1="Legal Services Expenditure Report 2020-21"</formula>
    </cfRule>
  </conditionalFormatting>
  <conditionalFormatting sqref="A272:C272">
    <cfRule type="expression" dxfId="445" priority="379">
      <formula>$B271&lt;&gt;"Total value of expenditure"</formula>
    </cfRule>
  </conditionalFormatting>
  <conditionalFormatting sqref="B273:C273">
    <cfRule type="expression" dxfId="444" priority="378">
      <formula>$B273=""</formula>
    </cfRule>
  </conditionalFormatting>
  <conditionalFormatting sqref="C274 A274">
    <cfRule type="expression" dxfId="443" priority="377">
      <formula>$B274&lt;&gt;"Choose provider from the list"</formula>
    </cfRule>
  </conditionalFormatting>
  <conditionalFormatting sqref="B274">
    <cfRule type="expression" dxfId="442" priority="376">
      <formula>$B274&lt;&gt;"Choose provider from the list"</formula>
    </cfRule>
  </conditionalFormatting>
  <conditionalFormatting sqref="A275:C275">
    <cfRule type="expression" dxfId="441" priority="367">
      <formula>$B274&lt;&gt;"Choose provider from the list"</formula>
    </cfRule>
  </conditionalFormatting>
  <conditionalFormatting sqref="B276">
    <cfRule type="expression" dxfId="440" priority="368">
      <formula>$B276="Please revise entries or contact OLSC for assistance"</formula>
    </cfRule>
    <cfRule type="expression" dxfId="439" priority="369">
      <formula>$B276="Entry Form complete - proceed to Summary sheet"</formula>
    </cfRule>
    <cfRule type="expression" dxfId="438" priority="374">
      <formula>$B276&lt;&gt;"Total value of expenditure"</formula>
    </cfRule>
  </conditionalFormatting>
  <conditionalFormatting sqref="C276 A276">
    <cfRule type="expression" dxfId="437" priority="373">
      <formula>$B276&lt;&gt;"Total value of expenditure"</formula>
    </cfRule>
  </conditionalFormatting>
  <conditionalFormatting sqref="A273">
    <cfRule type="expression" dxfId="436" priority="372">
      <formula>$B273&lt;&gt;"Is another domestic provider required?"</formula>
    </cfRule>
  </conditionalFormatting>
  <conditionalFormatting sqref="B273">
    <cfRule type="expression" dxfId="435" priority="371">
      <formula>$B273="Please confirm that the details entered into the Entry Form are correct"</formula>
    </cfRule>
  </conditionalFormatting>
  <conditionalFormatting sqref="C273">
    <cfRule type="expression" dxfId="434" priority="370">
      <formula>$B273="Please confirm that the details entered into the Entry Form are correct"</formula>
    </cfRule>
  </conditionalFormatting>
  <conditionalFormatting sqref="B275:C275">
    <cfRule type="expression" dxfId="433" priority="375">
      <formula>$B275&lt;&gt;"Type provider name manually"</formula>
    </cfRule>
  </conditionalFormatting>
  <conditionalFormatting sqref="A272:A276">
    <cfRule type="expression" dxfId="432" priority="366">
      <formula>$B$1="Legal Services Expenditure Report 2020-21"</formula>
    </cfRule>
  </conditionalFormatting>
  <conditionalFormatting sqref="A277:C277">
    <cfRule type="expression" dxfId="431" priority="365">
      <formula>$B276&lt;&gt;"Total value of expenditure"</formula>
    </cfRule>
  </conditionalFormatting>
  <conditionalFormatting sqref="B278:C278">
    <cfRule type="expression" dxfId="430" priority="364">
      <formula>$B278=""</formula>
    </cfRule>
  </conditionalFormatting>
  <conditionalFormatting sqref="C279 A279">
    <cfRule type="expression" dxfId="429" priority="363">
      <formula>$B279&lt;&gt;"Choose provider from the list"</formula>
    </cfRule>
  </conditionalFormatting>
  <conditionalFormatting sqref="B279">
    <cfRule type="expression" dxfId="428" priority="362">
      <formula>$B279&lt;&gt;"Choose provider from the list"</formula>
    </cfRule>
  </conditionalFormatting>
  <conditionalFormatting sqref="A280:C280">
    <cfRule type="expression" dxfId="427" priority="353">
      <formula>$B279&lt;&gt;"Choose provider from the list"</formula>
    </cfRule>
  </conditionalFormatting>
  <conditionalFormatting sqref="B281">
    <cfRule type="expression" dxfId="426" priority="354">
      <formula>$B281="Please revise entries or contact OLSC for assistance"</formula>
    </cfRule>
    <cfRule type="expression" dxfId="425" priority="355">
      <formula>$B281="Entry Form complete - proceed to Summary sheet"</formula>
    </cfRule>
    <cfRule type="expression" dxfId="424" priority="360">
      <formula>$B281&lt;&gt;"Total value of expenditure"</formula>
    </cfRule>
  </conditionalFormatting>
  <conditionalFormatting sqref="C281 A281">
    <cfRule type="expression" dxfId="423" priority="359">
      <formula>$B281&lt;&gt;"Total value of expenditure"</formula>
    </cfRule>
  </conditionalFormatting>
  <conditionalFormatting sqref="A278">
    <cfRule type="expression" dxfId="422" priority="358">
      <formula>$B278&lt;&gt;"Is another domestic provider required?"</formula>
    </cfRule>
  </conditionalFormatting>
  <conditionalFormatting sqref="B278">
    <cfRule type="expression" dxfId="421" priority="357">
      <formula>$B278="Please confirm that the details entered into the Entry Form are correct"</formula>
    </cfRule>
  </conditionalFormatting>
  <conditionalFormatting sqref="C278">
    <cfRule type="expression" dxfId="420" priority="356">
      <formula>$B278="Please confirm that the details entered into the Entry Form are correct"</formula>
    </cfRule>
  </conditionalFormatting>
  <conditionalFormatting sqref="B280:C280">
    <cfRule type="expression" dxfId="419" priority="361">
      <formula>$B280&lt;&gt;"Type provider name manually"</formula>
    </cfRule>
  </conditionalFormatting>
  <conditionalFormatting sqref="A277:A281">
    <cfRule type="expression" dxfId="418" priority="352">
      <formula>$B$1="Legal Services Expenditure Report 2020-21"</formula>
    </cfRule>
  </conditionalFormatting>
  <conditionalFormatting sqref="A282:C282">
    <cfRule type="expression" dxfId="417" priority="351">
      <formula>$B281&lt;&gt;"Total value of expenditure"</formula>
    </cfRule>
  </conditionalFormatting>
  <conditionalFormatting sqref="B283:C283">
    <cfRule type="expression" dxfId="416" priority="350">
      <formula>$B283=""</formula>
    </cfRule>
  </conditionalFormatting>
  <conditionalFormatting sqref="C284 A284">
    <cfRule type="expression" dxfId="415" priority="349">
      <formula>$B284&lt;&gt;"Choose provider from the list"</formula>
    </cfRule>
  </conditionalFormatting>
  <conditionalFormatting sqref="B284">
    <cfRule type="expression" dxfId="414" priority="348">
      <formula>$B284&lt;&gt;"Choose provider from the list"</formula>
    </cfRule>
  </conditionalFormatting>
  <conditionalFormatting sqref="A285:C285">
    <cfRule type="expression" dxfId="413" priority="339">
      <formula>$B284&lt;&gt;"Choose provider from the list"</formula>
    </cfRule>
  </conditionalFormatting>
  <conditionalFormatting sqref="B286">
    <cfRule type="expression" dxfId="412" priority="340">
      <formula>$B286="Please revise entries or contact OLSC for assistance"</formula>
    </cfRule>
    <cfRule type="expression" dxfId="411" priority="341">
      <formula>$B286="Entry Form complete - proceed to Summary sheet"</formula>
    </cfRule>
    <cfRule type="expression" dxfId="410" priority="346">
      <formula>$B286&lt;&gt;"Total value of expenditure"</formula>
    </cfRule>
  </conditionalFormatting>
  <conditionalFormatting sqref="C286 A286">
    <cfRule type="expression" dxfId="409" priority="345">
      <formula>$B286&lt;&gt;"Total value of expenditure"</formula>
    </cfRule>
  </conditionalFormatting>
  <conditionalFormatting sqref="A283">
    <cfRule type="expression" dxfId="408" priority="344">
      <formula>$B283&lt;&gt;"Is another domestic provider required?"</formula>
    </cfRule>
  </conditionalFormatting>
  <conditionalFormatting sqref="B283">
    <cfRule type="expression" dxfId="407" priority="343">
      <formula>$B283="Please confirm that the details entered into the Entry Form are correct"</formula>
    </cfRule>
  </conditionalFormatting>
  <conditionalFormatting sqref="C283">
    <cfRule type="expression" dxfId="406" priority="342">
      <formula>$B283="Please confirm that the details entered into the Entry Form are correct"</formula>
    </cfRule>
  </conditionalFormatting>
  <conditionalFormatting sqref="B285:C285">
    <cfRule type="expression" dxfId="405" priority="347">
      <formula>$B285&lt;&gt;"Type provider name manually"</formula>
    </cfRule>
  </conditionalFormatting>
  <conditionalFormatting sqref="A282:A286">
    <cfRule type="expression" dxfId="404" priority="338">
      <formula>$B$1="Legal Services Expenditure Report 2020-21"</formula>
    </cfRule>
  </conditionalFormatting>
  <conditionalFormatting sqref="A287:C287">
    <cfRule type="expression" dxfId="403" priority="337">
      <formula>$B286&lt;&gt;"Total value of expenditure"</formula>
    </cfRule>
  </conditionalFormatting>
  <conditionalFormatting sqref="B288:C288">
    <cfRule type="expression" dxfId="402" priority="336">
      <formula>$B288=""</formula>
    </cfRule>
  </conditionalFormatting>
  <conditionalFormatting sqref="C289 A289">
    <cfRule type="expression" dxfId="401" priority="335">
      <formula>$B289&lt;&gt;"Choose provider from the list"</formula>
    </cfRule>
  </conditionalFormatting>
  <conditionalFormatting sqref="B289">
    <cfRule type="expression" dxfId="400" priority="334">
      <formula>$B289&lt;&gt;"Choose provider from the list"</formula>
    </cfRule>
  </conditionalFormatting>
  <conditionalFormatting sqref="A290:C290">
    <cfRule type="expression" dxfId="399" priority="325">
      <formula>$B289&lt;&gt;"Choose provider from the list"</formula>
    </cfRule>
  </conditionalFormatting>
  <conditionalFormatting sqref="B291">
    <cfRule type="expression" dxfId="398" priority="326">
      <formula>$B291="Please revise entries or contact OLSC for assistance"</formula>
    </cfRule>
    <cfRule type="expression" dxfId="397" priority="327">
      <formula>$B291="Entry Form complete - proceed to Summary sheet"</formula>
    </cfRule>
    <cfRule type="expression" dxfId="396" priority="332">
      <formula>$B291&lt;&gt;"Total value of expenditure"</formula>
    </cfRule>
  </conditionalFormatting>
  <conditionalFormatting sqref="C291 A291">
    <cfRule type="expression" dxfId="395" priority="331">
      <formula>$B291&lt;&gt;"Total value of expenditure"</formula>
    </cfRule>
  </conditionalFormatting>
  <conditionalFormatting sqref="A288">
    <cfRule type="expression" dxfId="394" priority="330">
      <formula>$B288&lt;&gt;"Is another domestic provider required?"</formula>
    </cfRule>
  </conditionalFormatting>
  <conditionalFormatting sqref="B288">
    <cfRule type="expression" dxfId="393" priority="329">
      <formula>$B288="Please confirm that the details entered into the Entry Form are correct"</formula>
    </cfRule>
  </conditionalFormatting>
  <conditionalFormatting sqref="C288">
    <cfRule type="expression" dxfId="392" priority="328">
      <formula>$B288="Please confirm that the details entered into the Entry Form are correct"</formula>
    </cfRule>
  </conditionalFormatting>
  <conditionalFormatting sqref="B290:C290">
    <cfRule type="expression" dxfId="391" priority="333">
      <formula>$B290&lt;&gt;"Type provider name manually"</formula>
    </cfRule>
  </conditionalFormatting>
  <conditionalFormatting sqref="A287:A291">
    <cfRule type="expression" dxfId="390" priority="324">
      <formula>$B$1="Legal Services Expenditure Report 2020-21"</formula>
    </cfRule>
  </conditionalFormatting>
  <conditionalFormatting sqref="A292:C292">
    <cfRule type="expression" dxfId="389" priority="323">
      <formula>$B291&lt;&gt;"Total value of expenditure"</formula>
    </cfRule>
  </conditionalFormatting>
  <conditionalFormatting sqref="B293:C293">
    <cfRule type="expression" dxfId="388" priority="322">
      <formula>$B293=""</formula>
    </cfRule>
  </conditionalFormatting>
  <conditionalFormatting sqref="C294 A294">
    <cfRule type="expression" dxfId="387" priority="321">
      <formula>$B294&lt;&gt;"Choose provider from the list"</formula>
    </cfRule>
  </conditionalFormatting>
  <conditionalFormatting sqref="B294">
    <cfRule type="expression" dxfId="386" priority="320">
      <formula>$B294&lt;&gt;"Choose provider from the list"</formula>
    </cfRule>
  </conditionalFormatting>
  <conditionalFormatting sqref="A295:C295">
    <cfRule type="expression" dxfId="385" priority="311">
      <formula>$B294&lt;&gt;"Choose provider from the list"</formula>
    </cfRule>
  </conditionalFormatting>
  <conditionalFormatting sqref="B296">
    <cfRule type="expression" dxfId="384" priority="312">
      <formula>$B296="Please revise entries or contact OLSC for assistance"</formula>
    </cfRule>
    <cfRule type="expression" dxfId="383" priority="313">
      <formula>$B296="Entry Form complete - proceed to Summary sheet"</formula>
    </cfRule>
    <cfRule type="expression" dxfId="382" priority="318">
      <formula>$B296&lt;&gt;"Total value of expenditure"</formula>
    </cfRule>
  </conditionalFormatting>
  <conditionalFormatting sqref="C296 A296">
    <cfRule type="expression" dxfId="381" priority="317">
      <formula>$B296&lt;&gt;"Total value of expenditure"</formula>
    </cfRule>
  </conditionalFormatting>
  <conditionalFormatting sqref="A293">
    <cfRule type="expression" dxfId="380" priority="316">
      <formula>$B293&lt;&gt;"Is another domestic provider required?"</formula>
    </cfRule>
  </conditionalFormatting>
  <conditionalFormatting sqref="B293">
    <cfRule type="expression" dxfId="379" priority="315">
      <formula>$B293="Please confirm that the details entered into the Entry Form are correct"</formula>
    </cfRule>
  </conditionalFormatting>
  <conditionalFormatting sqref="C293">
    <cfRule type="expression" dxfId="378" priority="314">
      <formula>$B293="Please confirm that the details entered into the Entry Form are correct"</formula>
    </cfRule>
  </conditionalFormatting>
  <conditionalFormatting sqref="B295:C295">
    <cfRule type="expression" dxfId="377" priority="319">
      <formula>$B295&lt;&gt;"Type provider name manually"</formula>
    </cfRule>
  </conditionalFormatting>
  <conditionalFormatting sqref="A292:A296">
    <cfRule type="expression" dxfId="376" priority="310">
      <formula>$B$1="Legal Services Expenditure Report 2020-21"</formula>
    </cfRule>
  </conditionalFormatting>
  <conditionalFormatting sqref="A297:C297">
    <cfRule type="expression" dxfId="375" priority="309">
      <formula>$B296&lt;&gt;"Total value of expenditure"</formula>
    </cfRule>
  </conditionalFormatting>
  <conditionalFormatting sqref="B298:C298">
    <cfRule type="expression" dxfId="374" priority="308">
      <formula>$B298=""</formula>
    </cfRule>
  </conditionalFormatting>
  <conditionalFormatting sqref="C299 A299">
    <cfRule type="expression" dxfId="373" priority="307">
      <formula>$B299&lt;&gt;"Choose provider from the list"</formula>
    </cfRule>
  </conditionalFormatting>
  <conditionalFormatting sqref="B299">
    <cfRule type="expression" dxfId="372" priority="306">
      <formula>$B299&lt;&gt;"Choose provider from the list"</formula>
    </cfRule>
  </conditionalFormatting>
  <conditionalFormatting sqref="A300:C300">
    <cfRule type="expression" dxfId="371" priority="297">
      <formula>$B299&lt;&gt;"Choose provider from the list"</formula>
    </cfRule>
  </conditionalFormatting>
  <conditionalFormatting sqref="B301">
    <cfRule type="expression" dxfId="370" priority="298">
      <formula>$B301="Please revise entries or contact OLSC for assistance"</formula>
    </cfRule>
    <cfRule type="expression" dxfId="369" priority="299">
      <formula>$B301="Entry Form complete - proceed to Summary sheet"</formula>
    </cfRule>
    <cfRule type="expression" dxfId="368" priority="304">
      <formula>$B301&lt;&gt;"Total value of expenditure"</formula>
    </cfRule>
  </conditionalFormatting>
  <conditionalFormatting sqref="C301 A301">
    <cfRule type="expression" dxfId="367" priority="303">
      <formula>$B301&lt;&gt;"Total value of expenditure"</formula>
    </cfRule>
  </conditionalFormatting>
  <conditionalFormatting sqref="A298">
    <cfRule type="expression" dxfId="366" priority="302">
      <formula>$B298&lt;&gt;"Is another domestic provider required?"</formula>
    </cfRule>
  </conditionalFormatting>
  <conditionalFormatting sqref="B298">
    <cfRule type="expression" dxfId="365" priority="301">
      <formula>$B298="Please confirm that the details entered into the Entry Form are correct"</formula>
    </cfRule>
  </conditionalFormatting>
  <conditionalFormatting sqref="C298">
    <cfRule type="expression" dxfId="364" priority="300">
      <formula>$B298="Please confirm that the details entered into the Entry Form are correct"</formula>
    </cfRule>
  </conditionalFormatting>
  <conditionalFormatting sqref="B300:C300">
    <cfRule type="expression" dxfId="363" priority="305">
      <formula>$B300&lt;&gt;"Type provider name manually"</formula>
    </cfRule>
  </conditionalFormatting>
  <conditionalFormatting sqref="A297:A301">
    <cfRule type="expression" dxfId="362" priority="296">
      <formula>$B$1="Legal Services Expenditure Report 2020-21"</formula>
    </cfRule>
  </conditionalFormatting>
  <conditionalFormatting sqref="A302:C302">
    <cfRule type="expression" dxfId="361" priority="295">
      <formula>$B301&lt;&gt;"Total value of expenditure"</formula>
    </cfRule>
  </conditionalFormatting>
  <conditionalFormatting sqref="B303:C303">
    <cfRule type="expression" dxfId="360" priority="294">
      <formula>$B303=""</formula>
    </cfRule>
  </conditionalFormatting>
  <conditionalFormatting sqref="C304 A304">
    <cfRule type="expression" dxfId="359" priority="293">
      <formula>$B304&lt;&gt;"Choose provider from the list"</formula>
    </cfRule>
  </conditionalFormatting>
  <conditionalFormatting sqref="B304">
    <cfRule type="expression" dxfId="358" priority="292">
      <formula>$B304&lt;&gt;"Choose provider from the list"</formula>
    </cfRule>
  </conditionalFormatting>
  <conditionalFormatting sqref="A305:C305">
    <cfRule type="expression" dxfId="357" priority="283">
      <formula>$B304&lt;&gt;"Choose provider from the list"</formula>
    </cfRule>
  </conditionalFormatting>
  <conditionalFormatting sqref="B306">
    <cfRule type="expression" dxfId="356" priority="284">
      <formula>$B306="Please revise entries or contact OLSC for assistance"</formula>
    </cfRule>
    <cfRule type="expression" dxfId="355" priority="285">
      <formula>$B306="Entry Form complete - proceed to Summary sheet"</formula>
    </cfRule>
    <cfRule type="expression" dxfId="354" priority="290">
      <formula>$B306&lt;&gt;"Total value of expenditure"</formula>
    </cfRule>
  </conditionalFormatting>
  <conditionalFormatting sqref="C306 A306">
    <cfRule type="expression" dxfId="353" priority="289">
      <formula>$B306&lt;&gt;"Total value of expenditure"</formula>
    </cfRule>
  </conditionalFormatting>
  <conditionalFormatting sqref="A303">
    <cfRule type="expression" dxfId="352" priority="288">
      <formula>$B303&lt;&gt;"Is another domestic provider required?"</formula>
    </cfRule>
  </conditionalFormatting>
  <conditionalFormatting sqref="B303">
    <cfRule type="expression" dxfId="351" priority="287">
      <formula>$B303="Please confirm that the details entered into the Entry Form are correct"</formula>
    </cfRule>
  </conditionalFormatting>
  <conditionalFormatting sqref="C303">
    <cfRule type="expression" dxfId="350" priority="286">
      <formula>$B303="Please confirm that the details entered into the Entry Form are correct"</formula>
    </cfRule>
  </conditionalFormatting>
  <conditionalFormatting sqref="B305:C305">
    <cfRule type="expression" dxfId="349" priority="291">
      <formula>$B305&lt;&gt;"Type provider name manually"</formula>
    </cfRule>
  </conditionalFormatting>
  <conditionalFormatting sqref="A302:A306">
    <cfRule type="expression" dxfId="348" priority="282">
      <formula>$B$1="Legal Services Expenditure Report 2020-21"</formula>
    </cfRule>
  </conditionalFormatting>
  <conditionalFormatting sqref="A307:C307">
    <cfRule type="expression" dxfId="347" priority="281">
      <formula>$B306&lt;&gt;"Total value of expenditure"</formula>
    </cfRule>
  </conditionalFormatting>
  <conditionalFormatting sqref="B308:C308">
    <cfRule type="expression" dxfId="346" priority="280">
      <formula>$B308=""</formula>
    </cfRule>
  </conditionalFormatting>
  <conditionalFormatting sqref="C309 A309">
    <cfRule type="expression" dxfId="345" priority="279">
      <formula>$B309&lt;&gt;"Choose provider from the list"</formula>
    </cfRule>
  </conditionalFormatting>
  <conditionalFormatting sqref="B309">
    <cfRule type="expression" dxfId="344" priority="278">
      <formula>$B309&lt;&gt;"Choose provider from the list"</formula>
    </cfRule>
  </conditionalFormatting>
  <conditionalFormatting sqref="A310:C310">
    <cfRule type="expression" dxfId="343" priority="269">
      <formula>$B309&lt;&gt;"Choose provider from the list"</formula>
    </cfRule>
  </conditionalFormatting>
  <conditionalFormatting sqref="B311">
    <cfRule type="expression" dxfId="342" priority="270">
      <formula>$B311="Please revise entries or contact OLSC for assistance"</formula>
    </cfRule>
    <cfRule type="expression" dxfId="341" priority="271">
      <formula>$B311="Entry Form complete - proceed to Summary sheet"</formula>
    </cfRule>
    <cfRule type="expression" dxfId="340" priority="276">
      <formula>$B311&lt;&gt;"Total value of expenditure"</formula>
    </cfRule>
  </conditionalFormatting>
  <conditionalFormatting sqref="C311 A311">
    <cfRule type="expression" dxfId="339" priority="275">
      <formula>$B311&lt;&gt;"Total value of expenditure"</formula>
    </cfRule>
  </conditionalFormatting>
  <conditionalFormatting sqref="A308">
    <cfRule type="expression" dxfId="338" priority="274">
      <formula>$B308&lt;&gt;"Is another domestic provider required?"</formula>
    </cfRule>
  </conditionalFormatting>
  <conditionalFormatting sqref="B308">
    <cfRule type="expression" dxfId="337" priority="273">
      <formula>$B308="Please confirm that the details entered into the Entry Form are correct"</formula>
    </cfRule>
  </conditionalFormatting>
  <conditionalFormatting sqref="C308">
    <cfRule type="expression" dxfId="336" priority="272">
      <formula>$B308="Please confirm that the details entered into the Entry Form are correct"</formula>
    </cfRule>
  </conditionalFormatting>
  <conditionalFormatting sqref="B310:C310">
    <cfRule type="expression" dxfId="335" priority="277">
      <formula>$B310&lt;&gt;"Type provider name manually"</formula>
    </cfRule>
  </conditionalFormatting>
  <conditionalFormatting sqref="A307:A311">
    <cfRule type="expression" dxfId="334" priority="268">
      <formula>$B$1="Legal Services Expenditure Report 2020-21"</formula>
    </cfRule>
  </conditionalFormatting>
  <conditionalFormatting sqref="A312:C312">
    <cfRule type="expression" dxfId="333" priority="267">
      <formula>$B311&lt;&gt;"Total value of expenditure"</formula>
    </cfRule>
  </conditionalFormatting>
  <conditionalFormatting sqref="B313:C313">
    <cfRule type="expression" dxfId="332" priority="266">
      <formula>$B313=""</formula>
    </cfRule>
  </conditionalFormatting>
  <conditionalFormatting sqref="C314 A314">
    <cfRule type="expression" dxfId="331" priority="265">
      <formula>$B314&lt;&gt;"Choose provider from the list"</formula>
    </cfRule>
  </conditionalFormatting>
  <conditionalFormatting sqref="B314">
    <cfRule type="expression" dxfId="330" priority="264">
      <formula>$B314&lt;&gt;"Choose provider from the list"</formula>
    </cfRule>
  </conditionalFormatting>
  <conditionalFormatting sqref="A315:C315">
    <cfRule type="expression" dxfId="329" priority="255">
      <formula>$B314&lt;&gt;"Choose provider from the list"</formula>
    </cfRule>
  </conditionalFormatting>
  <conditionalFormatting sqref="B316">
    <cfRule type="expression" dxfId="328" priority="256">
      <formula>$B316="Please revise entries or contact OLSC for assistance"</formula>
    </cfRule>
    <cfRule type="expression" dxfId="327" priority="257">
      <formula>$B316="Entry Form complete - proceed to Summary sheet"</formula>
    </cfRule>
    <cfRule type="expression" dxfId="326" priority="262">
      <formula>$B316&lt;&gt;"Total value of expenditure"</formula>
    </cfRule>
  </conditionalFormatting>
  <conditionalFormatting sqref="C316 A316">
    <cfRule type="expression" dxfId="325" priority="261">
      <formula>$B316&lt;&gt;"Total value of expenditure"</formula>
    </cfRule>
  </conditionalFormatting>
  <conditionalFormatting sqref="A313">
    <cfRule type="expression" dxfId="324" priority="260">
      <formula>$B313&lt;&gt;"Is another domestic provider required?"</formula>
    </cfRule>
  </conditionalFormatting>
  <conditionalFormatting sqref="B313">
    <cfRule type="expression" dxfId="323" priority="259">
      <formula>$B313="Please confirm that the details entered into the Entry Form are correct"</formula>
    </cfRule>
  </conditionalFormatting>
  <conditionalFormatting sqref="C313">
    <cfRule type="expression" dxfId="322" priority="258">
      <formula>$B313="Please confirm that the details entered into the Entry Form are correct"</formula>
    </cfRule>
  </conditionalFormatting>
  <conditionalFormatting sqref="B315:C315">
    <cfRule type="expression" dxfId="321" priority="263">
      <formula>$B315&lt;&gt;"Type provider name manually"</formula>
    </cfRule>
  </conditionalFormatting>
  <conditionalFormatting sqref="A312:A316">
    <cfRule type="expression" dxfId="320" priority="254">
      <formula>$B$1="Legal Services Expenditure Report 2020-21"</formula>
    </cfRule>
  </conditionalFormatting>
  <conditionalFormatting sqref="A317:C317">
    <cfRule type="expression" dxfId="319" priority="253">
      <formula>$B316&lt;&gt;"Total value of expenditure"</formula>
    </cfRule>
  </conditionalFormatting>
  <conditionalFormatting sqref="B318:C318">
    <cfRule type="expression" dxfId="318" priority="252">
      <formula>$B318=""</formula>
    </cfRule>
  </conditionalFormatting>
  <conditionalFormatting sqref="C319 A319">
    <cfRule type="expression" dxfId="317" priority="251">
      <formula>$B319&lt;&gt;"Choose provider from the list"</formula>
    </cfRule>
  </conditionalFormatting>
  <conditionalFormatting sqref="B319">
    <cfRule type="expression" dxfId="316" priority="250">
      <formula>$B319&lt;&gt;"Choose provider from the list"</formula>
    </cfRule>
  </conditionalFormatting>
  <conditionalFormatting sqref="A320:C320">
    <cfRule type="expression" dxfId="315" priority="241">
      <formula>$B319&lt;&gt;"Choose provider from the list"</formula>
    </cfRule>
  </conditionalFormatting>
  <conditionalFormatting sqref="B321">
    <cfRule type="expression" dxfId="314" priority="242">
      <formula>$B321="Please revise entries or contact OLSC for assistance"</formula>
    </cfRule>
    <cfRule type="expression" dxfId="313" priority="243">
      <formula>$B321="Entry Form complete - proceed to Summary sheet"</formula>
    </cfRule>
    <cfRule type="expression" dxfId="312" priority="248">
      <formula>$B321&lt;&gt;"Total value of expenditure"</formula>
    </cfRule>
  </conditionalFormatting>
  <conditionalFormatting sqref="C321 A321">
    <cfRule type="expression" dxfId="311" priority="247">
      <formula>$B321&lt;&gt;"Total value of expenditure"</formula>
    </cfRule>
  </conditionalFormatting>
  <conditionalFormatting sqref="A318">
    <cfRule type="expression" dxfId="310" priority="246">
      <formula>$B318&lt;&gt;"Is another domestic provider required?"</formula>
    </cfRule>
  </conditionalFormatting>
  <conditionalFormatting sqref="B318">
    <cfRule type="expression" dxfId="309" priority="245">
      <formula>$B318="Please confirm that the details entered into the Entry Form are correct"</formula>
    </cfRule>
  </conditionalFormatting>
  <conditionalFormatting sqref="C318">
    <cfRule type="expression" dxfId="308" priority="244">
      <formula>$B318="Please confirm that the details entered into the Entry Form are correct"</formula>
    </cfRule>
  </conditionalFormatting>
  <conditionalFormatting sqref="B320:C320">
    <cfRule type="expression" dxfId="307" priority="249">
      <formula>$B320&lt;&gt;"Type provider name manually"</formula>
    </cfRule>
  </conditionalFormatting>
  <conditionalFormatting sqref="A317:A321">
    <cfRule type="expression" dxfId="306" priority="240">
      <formula>$B$1="Legal Services Expenditure Report 2020-21"</formula>
    </cfRule>
  </conditionalFormatting>
  <conditionalFormatting sqref="A322:C322">
    <cfRule type="expression" dxfId="305" priority="239">
      <formula>$B321&lt;&gt;"Total value of expenditure"</formula>
    </cfRule>
  </conditionalFormatting>
  <conditionalFormatting sqref="B323:C323">
    <cfRule type="expression" dxfId="304" priority="238">
      <formula>$B323=""</formula>
    </cfRule>
  </conditionalFormatting>
  <conditionalFormatting sqref="C324 A324">
    <cfRule type="expression" dxfId="303" priority="237">
      <formula>$B324&lt;&gt;"Choose provider from the list"</formula>
    </cfRule>
  </conditionalFormatting>
  <conditionalFormatting sqref="B324">
    <cfRule type="expression" dxfId="302" priority="236">
      <formula>$B324&lt;&gt;"Choose provider from the list"</formula>
    </cfRule>
  </conditionalFormatting>
  <conditionalFormatting sqref="A325:C325">
    <cfRule type="expression" dxfId="301" priority="227">
      <formula>$B324&lt;&gt;"Choose provider from the list"</formula>
    </cfRule>
  </conditionalFormatting>
  <conditionalFormatting sqref="B326">
    <cfRule type="expression" dxfId="300" priority="228">
      <formula>$B326="Please revise entries or contact OLSC for assistance"</formula>
    </cfRule>
    <cfRule type="expression" dxfId="299" priority="229">
      <formula>$B326="Entry Form complete - proceed to Summary sheet"</formula>
    </cfRule>
    <cfRule type="expression" dxfId="298" priority="234">
      <formula>$B326&lt;&gt;"Total value of expenditure"</formula>
    </cfRule>
  </conditionalFormatting>
  <conditionalFormatting sqref="C326 A326">
    <cfRule type="expression" dxfId="297" priority="233">
      <formula>$B326&lt;&gt;"Total value of expenditure"</formula>
    </cfRule>
  </conditionalFormatting>
  <conditionalFormatting sqref="A323">
    <cfRule type="expression" dxfId="296" priority="232">
      <formula>$B323&lt;&gt;"Is another domestic provider required?"</formula>
    </cfRule>
  </conditionalFormatting>
  <conditionalFormatting sqref="B323">
    <cfRule type="expression" dxfId="295" priority="231">
      <formula>$B323="Please confirm that the details entered into the Entry Form are correct"</formula>
    </cfRule>
  </conditionalFormatting>
  <conditionalFormatting sqref="C323">
    <cfRule type="expression" dxfId="294" priority="230">
      <formula>$B323="Please confirm that the details entered into the Entry Form are correct"</formula>
    </cfRule>
  </conditionalFormatting>
  <conditionalFormatting sqref="B325:C325">
    <cfRule type="expression" dxfId="293" priority="235">
      <formula>$B325&lt;&gt;"Type provider name manually"</formula>
    </cfRule>
  </conditionalFormatting>
  <conditionalFormatting sqref="A322:A326">
    <cfRule type="expression" dxfId="292" priority="226">
      <formula>$B$1="Legal Services Expenditure Report 2020-21"</formula>
    </cfRule>
  </conditionalFormatting>
  <conditionalFormatting sqref="A327:C327">
    <cfRule type="expression" dxfId="291" priority="225">
      <formula>$B326&lt;&gt;"Total value of expenditure"</formula>
    </cfRule>
  </conditionalFormatting>
  <conditionalFormatting sqref="B328:C328">
    <cfRule type="expression" dxfId="290" priority="224">
      <formula>$B328=""</formula>
    </cfRule>
  </conditionalFormatting>
  <conditionalFormatting sqref="C329 A329">
    <cfRule type="expression" dxfId="289" priority="223">
      <formula>$B329&lt;&gt;"Choose provider from the list"</formula>
    </cfRule>
  </conditionalFormatting>
  <conditionalFormatting sqref="B329">
    <cfRule type="expression" dxfId="288" priority="222">
      <formula>$B329&lt;&gt;"Choose provider from the list"</formula>
    </cfRule>
  </conditionalFormatting>
  <conditionalFormatting sqref="A330:C330">
    <cfRule type="expression" dxfId="287" priority="213">
      <formula>$B329&lt;&gt;"Choose provider from the list"</formula>
    </cfRule>
  </conditionalFormatting>
  <conditionalFormatting sqref="B331">
    <cfRule type="expression" dxfId="286" priority="214">
      <formula>$B331="Please revise entries or contact OLSC for assistance"</formula>
    </cfRule>
    <cfRule type="expression" dxfId="285" priority="215">
      <formula>$B331="Entry Form complete - proceed to Summary sheet"</formula>
    </cfRule>
    <cfRule type="expression" dxfId="284" priority="220">
      <formula>$B331&lt;&gt;"Total value of expenditure"</formula>
    </cfRule>
  </conditionalFormatting>
  <conditionalFormatting sqref="C331 A331">
    <cfRule type="expression" dxfId="283" priority="219">
      <formula>$B331&lt;&gt;"Total value of expenditure"</formula>
    </cfRule>
  </conditionalFormatting>
  <conditionalFormatting sqref="A328">
    <cfRule type="expression" dxfId="282" priority="218">
      <formula>$B328&lt;&gt;"Is another domestic provider required?"</formula>
    </cfRule>
  </conditionalFormatting>
  <conditionalFormatting sqref="B328">
    <cfRule type="expression" dxfId="281" priority="217">
      <formula>$B328="Please confirm that the details entered into the Entry Form are correct"</formula>
    </cfRule>
  </conditionalFormatting>
  <conditionalFormatting sqref="C328">
    <cfRule type="expression" dxfId="280" priority="216">
      <formula>$B328="Please confirm that the details entered into the Entry Form are correct"</formula>
    </cfRule>
  </conditionalFormatting>
  <conditionalFormatting sqref="B330:C330">
    <cfRule type="expression" dxfId="279" priority="221">
      <formula>$B330&lt;&gt;"Type provider name manually"</formula>
    </cfRule>
  </conditionalFormatting>
  <conditionalFormatting sqref="A327:A331">
    <cfRule type="expression" dxfId="278" priority="212">
      <formula>$B$1="Legal Services Expenditure Report 2020-21"</formula>
    </cfRule>
  </conditionalFormatting>
  <conditionalFormatting sqref="A332:C332">
    <cfRule type="expression" dxfId="277" priority="211">
      <formula>$B331&lt;&gt;"Total value of expenditure"</formula>
    </cfRule>
  </conditionalFormatting>
  <conditionalFormatting sqref="B333:C333">
    <cfRule type="expression" dxfId="276" priority="210">
      <formula>$B333=""</formula>
    </cfRule>
  </conditionalFormatting>
  <conditionalFormatting sqref="C334 A334">
    <cfRule type="expression" dxfId="275" priority="209">
      <formula>$B334&lt;&gt;"Choose provider from the list"</formula>
    </cfRule>
  </conditionalFormatting>
  <conditionalFormatting sqref="B334">
    <cfRule type="expression" dxfId="274" priority="208">
      <formula>$B334&lt;&gt;"Choose provider from the list"</formula>
    </cfRule>
  </conditionalFormatting>
  <conditionalFormatting sqref="A335:C335">
    <cfRule type="expression" dxfId="273" priority="199">
      <formula>$B334&lt;&gt;"Choose provider from the list"</formula>
    </cfRule>
  </conditionalFormatting>
  <conditionalFormatting sqref="B336">
    <cfRule type="expression" dxfId="272" priority="200">
      <formula>$B336="Please revise entries or contact OLSC for assistance"</formula>
    </cfRule>
    <cfRule type="expression" dxfId="271" priority="201">
      <formula>$B336="Entry Form complete - proceed to Summary sheet"</formula>
    </cfRule>
    <cfRule type="expression" dxfId="270" priority="206">
      <formula>$B336&lt;&gt;"Total value of expenditure"</formula>
    </cfRule>
  </conditionalFormatting>
  <conditionalFormatting sqref="C336 A336">
    <cfRule type="expression" dxfId="269" priority="205">
      <formula>$B336&lt;&gt;"Total value of expenditure"</formula>
    </cfRule>
  </conditionalFormatting>
  <conditionalFormatting sqref="A333">
    <cfRule type="expression" dxfId="268" priority="204">
      <formula>$B333&lt;&gt;"Is another domestic provider required?"</formula>
    </cfRule>
  </conditionalFormatting>
  <conditionalFormatting sqref="B333">
    <cfRule type="expression" dxfId="267" priority="203">
      <formula>$B333="Please confirm that the details entered into the Entry Form are correct"</formula>
    </cfRule>
  </conditionalFormatting>
  <conditionalFormatting sqref="C333">
    <cfRule type="expression" dxfId="266" priority="202">
      <formula>$B333="Please confirm that the details entered into the Entry Form are correct"</formula>
    </cfRule>
  </conditionalFormatting>
  <conditionalFormatting sqref="B335:C335">
    <cfRule type="expression" dxfId="265" priority="207">
      <formula>$B335&lt;&gt;"Type provider name manually"</formula>
    </cfRule>
  </conditionalFormatting>
  <conditionalFormatting sqref="A332:A336">
    <cfRule type="expression" dxfId="264" priority="198">
      <formula>$B$1="Legal Services Expenditure Report 2020-21"</formula>
    </cfRule>
  </conditionalFormatting>
  <conditionalFormatting sqref="A337:C337">
    <cfRule type="expression" dxfId="263" priority="197">
      <formula>$B336&lt;&gt;"Total value of expenditure"</formula>
    </cfRule>
  </conditionalFormatting>
  <conditionalFormatting sqref="B338:C338">
    <cfRule type="expression" dxfId="262" priority="196">
      <formula>$B338=""</formula>
    </cfRule>
  </conditionalFormatting>
  <conditionalFormatting sqref="C339 A339">
    <cfRule type="expression" dxfId="261" priority="195">
      <formula>$B339&lt;&gt;"Choose provider from the list"</formula>
    </cfRule>
  </conditionalFormatting>
  <conditionalFormatting sqref="B339">
    <cfRule type="expression" dxfId="260" priority="194">
      <formula>$B339&lt;&gt;"Choose provider from the list"</formula>
    </cfRule>
  </conditionalFormatting>
  <conditionalFormatting sqref="A340:C340">
    <cfRule type="expression" dxfId="259" priority="185">
      <formula>$B339&lt;&gt;"Choose provider from the list"</formula>
    </cfRule>
  </conditionalFormatting>
  <conditionalFormatting sqref="B341">
    <cfRule type="expression" dxfId="258" priority="186">
      <formula>$B341="Please revise entries or contact OLSC for assistance"</formula>
    </cfRule>
    <cfRule type="expression" dxfId="257" priority="187">
      <formula>$B341="Entry Form complete - proceed to Summary sheet"</formula>
    </cfRule>
    <cfRule type="expression" dxfId="256" priority="192">
      <formula>$B341&lt;&gt;"Total value of expenditure"</formula>
    </cfRule>
  </conditionalFormatting>
  <conditionalFormatting sqref="C341 A341">
    <cfRule type="expression" dxfId="255" priority="191">
      <formula>$B341&lt;&gt;"Total value of expenditure"</formula>
    </cfRule>
  </conditionalFormatting>
  <conditionalFormatting sqref="A338">
    <cfRule type="expression" dxfId="254" priority="190">
      <formula>$B338&lt;&gt;"Is another domestic provider required?"</formula>
    </cfRule>
  </conditionalFormatting>
  <conditionalFormatting sqref="B338">
    <cfRule type="expression" dxfId="253" priority="189">
      <formula>$B338="Please confirm that the details entered into the Entry Form are correct"</formula>
    </cfRule>
  </conditionalFormatting>
  <conditionalFormatting sqref="C338">
    <cfRule type="expression" dxfId="252" priority="188">
      <formula>$B338="Please confirm that the details entered into the Entry Form are correct"</formula>
    </cfRule>
  </conditionalFormatting>
  <conditionalFormatting sqref="B340:C340">
    <cfRule type="expression" dxfId="251" priority="193">
      <formula>$B340&lt;&gt;"Type provider name manually"</formula>
    </cfRule>
  </conditionalFormatting>
  <conditionalFormatting sqref="A337:A341">
    <cfRule type="expression" dxfId="250" priority="184">
      <formula>$B$1="Legal Services Expenditure Report 2020-21"</formula>
    </cfRule>
  </conditionalFormatting>
  <conditionalFormatting sqref="A342:C342">
    <cfRule type="expression" dxfId="249" priority="183">
      <formula>$B341&lt;&gt;"Total value of expenditure"</formula>
    </cfRule>
  </conditionalFormatting>
  <conditionalFormatting sqref="B343:C343">
    <cfRule type="expression" dxfId="248" priority="182">
      <formula>$B343=""</formula>
    </cfRule>
  </conditionalFormatting>
  <conditionalFormatting sqref="C344 A344">
    <cfRule type="expression" dxfId="247" priority="181">
      <formula>$B344&lt;&gt;"Choose provider from the list"</formula>
    </cfRule>
  </conditionalFormatting>
  <conditionalFormatting sqref="B344">
    <cfRule type="expression" dxfId="246" priority="180">
      <formula>$B344&lt;&gt;"Choose provider from the list"</formula>
    </cfRule>
  </conditionalFormatting>
  <conditionalFormatting sqref="A345:C345">
    <cfRule type="expression" dxfId="245" priority="171">
      <formula>$B344&lt;&gt;"Choose provider from the list"</formula>
    </cfRule>
  </conditionalFormatting>
  <conditionalFormatting sqref="B346">
    <cfRule type="expression" dxfId="244" priority="172">
      <formula>$B346="Please revise entries or contact OLSC for assistance"</formula>
    </cfRule>
    <cfRule type="expression" dxfId="243" priority="173">
      <formula>$B346="Entry Form complete - proceed to Summary sheet"</formula>
    </cfRule>
    <cfRule type="expression" dxfId="242" priority="178">
      <formula>$B346&lt;&gt;"Total value of expenditure"</formula>
    </cfRule>
  </conditionalFormatting>
  <conditionalFormatting sqref="C346 A346">
    <cfRule type="expression" dxfId="241" priority="177">
      <formula>$B346&lt;&gt;"Total value of expenditure"</formula>
    </cfRule>
  </conditionalFormatting>
  <conditionalFormatting sqref="A343">
    <cfRule type="expression" dxfId="240" priority="176">
      <formula>$B343&lt;&gt;"Is another domestic provider required?"</formula>
    </cfRule>
  </conditionalFormatting>
  <conditionalFormatting sqref="B343">
    <cfRule type="expression" dxfId="239" priority="175">
      <formula>$B343="Please confirm that the details entered into the Entry Form are correct"</formula>
    </cfRule>
  </conditionalFormatting>
  <conditionalFormatting sqref="C343">
    <cfRule type="expression" dxfId="238" priority="174">
      <formula>$B343="Please confirm that the details entered into the Entry Form are correct"</formula>
    </cfRule>
  </conditionalFormatting>
  <conditionalFormatting sqref="B345:C345">
    <cfRule type="expression" dxfId="237" priority="179">
      <formula>$B345&lt;&gt;"Type provider name manually"</formula>
    </cfRule>
  </conditionalFormatting>
  <conditionalFormatting sqref="A342:A346">
    <cfRule type="expression" dxfId="236" priority="170">
      <formula>$B$1="Legal Services Expenditure Report 2020-21"</formula>
    </cfRule>
  </conditionalFormatting>
  <conditionalFormatting sqref="A347:C347">
    <cfRule type="expression" dxfId="235" priority="169">
      <formula>$B346&lt;&gt;"Total value of expenditure"</formula>
    </cfRule>
  </conditionalFormatting>
  <conditionalFormatting sqref="B348:C348">
    <cfRule type="expression" dxfId="234" priority="168">
      <formula>$B348=""</formula>
    </cfRule>
  </conditionalFormatting>
  <conditionalFormatting sqref="C349 A349">
    <cfRule type="expression" dxfId="233" priority="167">
      <formula>$B349&lt;&gt;"Choose provider from the list"</formula>
    </cfRule>
  </conditionalFormatting>
  <conditionalFormatting sqref="B349">
    <cfRule type="expression" dxfId="232" priority="166">
      <formula>$B349&lt;&gt;"Choose provider from the list"</formula>
    </cfRule>
  </conditionalFormatting>
  <conditionalFormatting sqref="A350:C350">
    <cfRule type="expression" dxfId="231" priority="157">
      <formula>$B349&lt;&gt;"Choose provider from the list"</formula>
    </cfRule>
  </conditionalFormatting>
  <conditionalFormatting sqref="B351">
    <cfRule type="expression" dxfId="230" priority="158">
      <formula>$B351="Please revise entries or contact OLSC for assistance"</formula>
    </cfRule>
    <cfRule type="expression" dxfId="229" priority="159">
      <formula>$B351="Entry Form complete - proceed to Summary sheet"</formula>
    </cfRule>
    <cfRule type="expression" dxfId="228" priority="164">
      <formula>$B351&lt;&gt;"Total value of expenditure"</formula>
    </cfRule>
  </conditionalFormatting>
  <conditionalFormatting sqref="C351 A351">
    <cfRule type="expression" dxfId="227" priority="163">
      <formula>$B351&lt;&gt;"Total value of expenditure"</formula>
    </cfRule>
  </conditionalFormatting>
  <conditionalFormatting sqref="A348">
    <cfRule type="expression" dxfId="226" priority="162">
      <formula>$B348&lt;&gt;"Is another domestic provider required?"</formula>
    </cfRule>
  </conditionalFormatting>
  <conditionalFormatting sqref="B348">
    <cfRule type="expression" dxfId="225" priority="161">
      <formula>$B348="Please confirm that the details entered into the Entry Form are correct"</formula>
    </cfRule>
  </conditionalFormatting>
  <conditionalFormatting sqref="C348">
    <cfRule type="expression" dxfId="224" priority="160">
      <formula>$B348="Please confirm that the details entered into the Entry Form are correct"</formula>
    </cfRule>
  </conditionalFormatting>
  <conditionalFormatting sqref="B350:C350">
    <cfRule type="expression" dxfId="223" priority="165">
      <formula>$B350&lt;&gt;"Type provider name manually"</formula>
    </cfRule>
  </conditionalFormatting>
  <conditionalFormatting sqref="A347:A351">
    <cfRule type="expression" dxfId="222" priority="156">
      <formula>$B$1="Legal Services Expenditure Report 2020-21"</formula>
    </cfRule>
  </conditionalFormatting>
  <conditionalFormatting sqref="A352:C352">
    <cfRule type="expression" dxfId="221" priority="155">
      <formula>$B351&lt;&gt;"Total value of expenditure"</formula>
    </cfRule>
  </conditionalFormatting>
  <conditionalFormatting sqref="B353:C353">
    <cfRule type="expression" dxfId="220" priority="154">
      <formula>$B353=""</formula>
    </cfRule>
  </conditionalFormatting>
  <conditionalFormatting sqref="C354 A354">
    <cfRule type="expression" dxfId="219" priority="153">
      <formula>$B354&lt;&gt;"Choose provider from the list"</formula>
    </cfRule>
  </conditionalFormatting>
  <conditionalFormatting sqref="B354">
    <cfRule type="expression" dxfId="218" priority="152">
      <formula>$B354&lt;&gt;"Choose provider from the list"</formula>
    </cfRule>
  </conditionalFormatting>
  <conditionalFormatting sqref="A355:C355">
    <cfRule type="expression" dxfId="217" priority="143">
      <formula>$B354&lt;&gt;"Choose provider from the list"</formula>
    </cfRule>
  </conditionalFormatting>
  <conditionalFormatting sqref="B356">
    <cfRule type="expression" dxfId="216" priority="144">
      <formula>$B356="Please revise entries or contact OLSC for assistance"</formula>
    </cfRule>
    <cfRule type="expression" dxfId="215" priority="145">
      <formula>$B356="Entry Form complete - proceed to Summary sheet"</formula>
    </cfRule>
    <cfRule type="expression" dxfId="214" priority="150">
      <formula>$B356&lt;&gt;"Total value of expenditure"</formula>
    </cfRule>
  </conditionalFormatting>
  <conditionalFormatting sqref="C356 A356">
    <cfRule type="expression" dxfId="213" priority="149">
      <formula>$B356&lt;&gt;"Total value of expenditure"</formula>
    </cfRule>
  </conditionalFormatting>
  <conditionalFormatting sqref="A353">
    <cfRule type="expression" dxfId="212" priority="148">
      <formula>$B353&lt;&gt;"Is another domestic provider required?"</formula>
    </cfRule>
  </conditionalFormatting>
  <conditionalFormatting sqref="B353">
    <cfRule type="expression" dxfId="211" priority="147">
      <formula>$B353="Please confirm that the details entered into the Entry Form are correct"</formula>
    </cfRule>
  </conditionalFormatting>
  <conditionalFormatting sqref="C353">
    <cfRule type="expression" dxfId="210" priority="146">
      <formula>$B353="Please confirm that the details entered into the Entry Form are correct"</formula>
    </cfRule>
  </conditionalFormatting>
  <conditionalFormatting sqref="B355:C355">
    <cfRule type="expression" dxfId="209" priority="151">
      <formula>$B355&lt;&gt;"Type provider name manually"</formula>
    </cfRule>
  </conditionalFormatting>
  <conditionalFormatting sqref="A352:A356">
    <cfRule type="expression" dxfId="208" priority="142">
      <formula>$B$1="Legal Services Expenditure Report 2020-21"</formula>
    </cfRule>
  </conditionalFormatting>
  <conditionalFormatting sqref="A357:C357">
    <cfRule type="expression" dxfId="207" priority="141">
      <formula>$B356&lt;&gt;"Total value of expenditure"</formula>
    </cfRule>
  </conditionalFormatting>
  <conditionalFormatting sqref="B358:C358">
    <cfRule type="expression" dxfId="206" priority="140">
      <formula>$B358=""</formula>
    </cfRule>
  </conditionalFormatting>
  <conditionalFormatting sqref="C359 A359">
    <cfRule type="expression" dxfId="205" priority="139">
      <formula>$B359&lt;&gt;"Choose provider from the list"</formula>
    </cfRule>
  </conditionalFormatting>
  <conditionalFormatting sqref="B359">
    <cfRule type="expression" dxfId="204" priority="138">
      <formula>$B359&lt;&gt;"Choose provider from the list"</formula>
    </cfRule>
  </conditionalFormatting>
  <conditionalFormatting sqref="A360:C360">
    <cfRule type="expression" dxfId="203" priority="129">
      <formula>$B359&lt;&gt;"Choose provider from the list"</formula>
    </cfRule>
  </conditionalFormatting>
  <conditionalFormatting sqref="B361">
    <cfRule type="expression" dxfId="202" priority="130">
      <formula>$B361="Please revise entries or contact OLSC for assistance"</formula>
    </cfRule>
    <cfRule type="expression" dxfId="201" priority="131">
      <formula>$B361="Entry Form complete - proceed to Summary sheet"</formula>
    </cfRule>
    <cfRule type="expression" dxfId="200" priority="136">
      <formula>$B361&lt;&gt;"Total value of expenditure"</formula>
    </cfRule>
  </conditionalFormatting>
  <conditionalFormatting sqref="C361 A361">
    <cfRule type="expression" dxfId="199" priority="135">
      <formula>$B361&lt;&gt;"Total value of expenditure"</formula>
    </cfRule>
  </conditionalFormatting>
  <conditionalFormatting sqref="A358">
    <cfRule type="expression" dxfId="198" priority="134">
      <formula>$B358&lt;&gt;"Is another domestic provider required?"</formula>
    </cfRule>
  </conditionalFormatting>
  <conditionalFormatting sqref="B358">
    <cfRule type="expression" dxfId="197" priority="133">
      <formula>$B358="Please confirm that the details entered into the Entry Form are correct"</formula>
    </cfRule>
  </conditionalFormatting>
  <conditionalFormatting sqref="C358">
    <cfRule type="expression" dxfId="196" priority="132">
      <formula>$B358="Please confirm that the details entered into the Entry Form are correct"</formula>
    </cfRule>
  </conditionalFormatting>
  <conditionalFormatting sqref="B360:C360">
    <cfRule type="expression" dxfId="195" priority="137">
      <formula>$B360&lt;&gt;"Type provider name manually"</formula>
    </cfRule>
  </conditionalFormatting>
  <conditionalFormatting sqref="A357:A361">
    <cfRule type="expression" dxfId="194" priority="128">
      <formula>$B$1="Legal Services Expenditure Report 2020-21"</formula>
    </cfRule>
  </conditionalFormatting>
  <conditionalFormatting sqref="A362:C362">
    <cfRule type="expression" dxfId="193" priority="127">
      <formula>$B361&lt;&gt;"Total value of expenditure"</formula>
    </cfRule>
  </conditionalFormatting>
  <conditionalFormatting sqref="B363:C363">
    <cfRule type="expression" dxfId="192" priority="126">
      <formula>$B363=""</formula>
    </cfRule>
  </conditionalFormatting>
  <conditionalFormatting sqref="C364 A364">
    <cfRule type="expression" dxfId="191" priority="125">
      <formula>$B364&lt;&gt;"Choose provider from the list"</formula>
    </cfRule>
  </conditionalFormatting>
  <conditionalFormatting sqref="B364">
    <cfRule type="expression" dxfId="190" priority="124">
      <formula>$B364&lt;&gt;"Choose provider from the list"</formula>
    </cfRule>
  </conditionalFormatting>
  <conditionalFormatting sqref="A365:C365">
    <cfRule type="expression" dxfId="189" priority="115">
      <formula>$B364&lt;&gt;"Choose provider from the list"</formula>
    </cfRule>
  </conditionalFormatting>
  <conditionalFormatting sqref="B366">
    <cfRule type="expression" dxfId="188" priority="116">
      <formula>$B366="Please revise entries or contact OLSC for assistance"</formula>
    </cfRule>
    <cfRule type="expression" dxfId="187" priority="117">
      <formula>$B366="Entry Form complete - proceed to Summary sheet"</formula>
    </cfRule>
    <cfRule type="expression" dxfId="186" priority="122">
      <formula>$B366&lt;&gt;"Total value of expenditure"</formula>
    </cfRule>
  </conditionalFormatting>
  <conditionalFormatting sqref="C366 A366">
    <cfRule type="expression" dxfId="185" priority="121">
      <formula>$B366&lt;&gt;"Total value of expenditure"</formula>
    </cfRule>
  </conditionalFormatting>
  <conditionalFormatting sqref="A363">
    <cfRule type="expression" dxfId="184" priority="120">
      <formula>$B363&lt;&gt;"Is another domestic provider required?"</formula>
    </cfRule>
  </conditionalFormatting>
  <conditionalFormatting sqref="B363">
    <cfRule type="expression" dxfId="183" priority="119">
      <formula>$B363="Please confirm that the details entered into the Entry Form are correct"</formula>
    </cfRule>
  </conditionalFormatting>
  <conditionalFormatting sqref="C363">
    <cfRule type="expression" dxfId="182" priority="118">
      <formula>$B363="Please confirm that the details entered into the Entry Form are correct"</formula>
    </cfRule>
  </conditionalFormatting>
  <conditionalFormatting sqref="B365:C365">
    <cfRule type="expression" dxfId="181" priority="123">
      <formula>$B365&lt;&gt;"Type provider name manually"</formula>
    </cfRule>
  </conditionalFormatting>
  <conditionalFormatting sqref="A362:A366">
    <cfRule type="expression" dxfId="180" priority="114">
      <formula>$B$1="Legal Services Expenditure Report 2020-21"</formula>
    </cfRule>
  </conditionalFormatting>
  <conditionalFormatting sqref="A367:C367">
    <cfRule type="expression" dxfId="179" priority="113">
      <formula>$B366&lt;&gt;"Total value of expenditure"</formula>
    </cfRule>
  </conditionalFormatting>
  <conditionalFormatting sqref="B368:C368">
    <cfRule type="expression" dxfId="178" priority="112">
      <formula>$B368=""</formula>
    </cfRule>
  </conditionalFormatting>
  <conditionalFormatting sqref="C369 A369">
    <cfRule type="expression" dxfId="177" priority="111">
      <formula>$B369&lt;&gt;"Choose provider from the list"</formula>
    </cfRule>
  </conditionalFormatting>
  <conditionalFormatting sqref="B369">
    <cfRule type="expression" dxfId="176" priority="110">
      <formula>$B369&lt;&gt;"Choose provider from the list"</formula>
    </cfRule>
  </conditionalFormatting>
  <conditionalFormatting sqref="A370:C370">
    <cfRule type="expression" dxfId="175" priority="101">
      <formula>$B369&lt;&gt;"Choose provider from the list"</formula>
    </cfRule>
  </conditionalFormatting>
  <conditionalFormatting sqref="B371">
    <cfRule type="expression" dxfId="174" priority="102">
      <formula>$B371="Please revise entries or contact OLSC for assistance"</formula>
    </cfRule>
    <cfRule type="expression" dxfId="173" priority="103">
      <formula>$B371="Entry Form complete - proceed to Summary sheet"</formula>
    </cfRule>
    <cfRule type="expression" dxfId="172" priority="108">
      <formula>$B371&lt;&gt;"Total value of expenditure"</formula>
    </cfRule>
  </conditionalFormatting>
  <conditionalFormatting sqref="C371 A371">
    <cfRule type="expression" dxfId="171" priority="107">
      <formula>$B371&lt;&gt;"Total value of expenditure"</formula>
    </cfRule>
  </conditionalFormatting>
  <conditionalFormatting sqref="A368">
    <cfRule type="expression" dxfId="170" priority="106">
      <formula>$B368&lt;&gt;"Is another domestic provider required?"</formula>
    </cfRule>
  </conditionalFormatting>
  <conditionalFormatting sqref="B368">
    <cfRule type="expression" dxfId="169" priority="105">
      <formula>$B368="Please confirm that the details entered into the Entry Form are correct"</formula>
    </cfRule>
  </conditionalFormatting>
  <conditionalFormatting sqref="C368">
    <cfRule type="expression" dxfId="168" priority="104">
      <formula>$B368="Please confirm that the details entered into the Entry Form are correct"</formula>
    </cfRule>
  </conditionalFormatting>
  <conditionalFormatting sqref="B370:C370">
    <cfRule type="expression" dxfId="167" priority="109">
      <formula>$B370&lt;&gt;"Type provider name manually"</formula>
    </cfRule>
  </conditionalFormatting>
  <conditionalFormatting sqref="A367:A371">
    <cfRule type="expression" dxfId="166" priority="100">
      <formula>$B$1="Legal Services Expenditure Report 2020-21"</formula>
    </cfRule>
  </conditionalFormatting>
  <conditionalFormatting sqref="A372:C372">
    <cfRule type="expression" dxfId="165" priority="99">
      <formula>$B371&lt;&gt;"Total value of expenditure"</formula>
    </cfRule>
  </conditionalFormatting>
  <conditionalFormatting sqref="B373:C373">
    <cfRule type="expression" dxfId="164" priority="98">
      <formula>$B373=""</formula>
    </cfRule>
  </conditionalFormatting>
  <conditionalFormatting sqref="C374 A374">
    <cfRule type="expression" dxfId="163" priority="97">
      <formula>$B374&lt;&gt;"Choose provider from the list"</formula>
    </cfRule>
  </conditionalFormatting>
  <conditionalFormatting sqref="B374">
    <cfRule type="expression" dxfId="162" priority="96">
      <formula>$B374&lt;&gt;"Choose provider from the list"</formula>
    </cfRule>
  </conditionalFormatting>
  <conditionalFormatting sqref="A375:C375">
    <cfRule type="expression" dxfId="161" priority="87">
      <formula>$B374&lt;&gt;"Choose provider from the list"</formula>
    </cfRule>
  </conditionalFormatting>
  <conditionalFormatting sqref="B376">
    <cfRule type="expression" dxfId="160" priority="88">
      <formula>$B376="Please revise entries or contact OLSC for assistance"</formula>
    </cfRule>
    <cfRule type="expression" dxfId="159" priority="89">
      <formula>$B376="Entry Form complete - proceed to Summary sheet"</formula>
    </cfRule>
    <cfRule type="expression" dxfId="158" priority="94">
      <formula>$B376&lt;&gt;"Total value of expenditure"</formula>
    </cfRule>
  </conditionalFormatting>
  <conditionalFormatting sqref="C376 A376">
    <cfRule type="expression" dxfId="157" priority="93">
      <formula>$B376&lt;&gt;"Total value of expenditure"</formula>
    </cfRule>
  </conditionalFormatting>
  <conditionalFormatting sqref="A373">
    <cfRule type="expression" dxfId="156" priority="92">
      <formula>$B373&lt;&gt;"Is another domestic provider required?"</formula>
    </cfRule>
  </conditionalFormatting>
  <conditionalFormatting sqref="B373">
    <cfRule type="expression" dxfId="155" priority="91">
      <formula>$B373="Please confirm that the details entered into the Entry Form are correct"</formula>
    </cfRule>
  </conditionalFormatting>
  <conditionalFormatting sqref="C373">
    <cfRule type="expression" dxfId="154" priority="90">
      <formula>$B373="Please confirm that the details entered into the Entry Form are correct"</formula>
    </cfRule>
  </conditionalFormatting>
  <conditionalFormatting sqref="B375:C375">
    <cfRule type="expression" dxfId="153" priority="95">
      <formula>$B375&lt;&gt;"Type provider name manually"</formula>
    </cfRule>
  </conditionalFormatting>
  <conditionalFormatting sqref="A372:A376">
    <cfRule type="expression" dxfId="152" priority="86">
      <formula>$B$1="Legal Services Expenditure Report 2020-21"</formula>
    </cfRule>
  </conditionalFormatting>
  <conditionalFormatting sqref="A377:C377">
    <cfRule type="expression" dxfId="151" priority="85">
      <formula>$B376&lt;&gt;"Total value of expenditure"</formula>
    </cfRule>
  </conditionalFormatting>
  <conditionalFormatting sqref="B378:C378">
    <cfRule type="expression" dxfId="150" priority="84">
      <formula>$B378=""</formula>
    </cfRule>
  </conditionalFormatting>
  <conditionalFormatting sqref="C379 A379">
    <cfRule type="expression" dxfId="149" priority="83">
      <formula>$B379&lt;&gt;"Choose provider from the list"</formula>
    </cfRule>
  </conditionalFormatting>
  <conditionalFormatting sqref="B379">
    <cfRule type="expression" dxfId="148" priority="82">
      <formula>$B379&lt;&gt;"Choose provider from the list"</formula>
    </cfRule>
  </conditionalFormatting>
  <conditionalFormatting sqref="A380:C380">
    <cfRule type="expression" dxfId="147" priority="73">
      <formula>$B379&lt;&gt;"Choose provider from the list"</formula>
    </cfRule>
  </conditionalFormatting>
  <conditionalFormatting sqref="B381">
    <cfRule type="expression" dxfId="146" priority="74">
      <formula>$B381="Please revise entries or contact OLSC for assistance"</formula>
    </cfRule>
    <cfRule type="expression" dxfId="145" priority="75">
      <formula>$B381="Entry Form complete - proceed to Summary sheet"</formula>
    </cfRule>
    <cfRule type="expression" dxfId="144" priority="80">
      <formula>$B381&lt;&gt;"Total value of expenditure"</formula>
    </cfRule>
  </conditionalFormatting>
  <conditionalFormatting sqref="C381 A381">
    <cfRule type="expression" dxfId="143" priority="79">
      <formula>$B381&lt;&gt;"Total value of expenditure"</formula>
    </cfRule>
  </conditionalFormatting>
  <conditionalFormatting sqref="A378">
    <cfRule type="expression" dxfId="142" priority="78">
      <formula>$B378&lt;&gt;"Is another domestic provider required?"</formula>
    </cfRule>
  </conditionalFormatting>
  <conditionalFormatting sqref="B378">
    <cfRule type="expression" dxfId="141" priority="77">
      <formula>$B378="Please confirm that the details entered into the Entry Form are correct"</formula>
    </cfRule>
  </conditionalFormatting>
  <conditionalFormatting sqref="C378">
    <cfRule type="expression" dxfId="140" priority="76">
      <formula>$B378="Please confirm that the details entered into the Entry Form are correct"</formula>
    </cfRule>
  </conditionalFormatting>
  <conditionalFormatting sqref="B380:C380">
    <cfRule type="expression" dxfId="139" priority="81">
      <formula>$B380&lt;&gt;"Type provider name manually"</formula>
    </cfRule>
  </conditionalFormatting>
  <conditionalFormatting sqref="A377:A381">
    <cfRule type="expression" dxfId="138" priority="72">
      <formula>$B$1="Legal Services Expenditure Report 2020-21"</formula>
    </cfRule>
  </conditionalFormatting>
  <conditionalFormatting sqref="A382:C382">
    <cfRule type="expression" dxfId="137" priority="71">
      <formula>$B381&lt;&gt;"Total value of expenditure"</formula>
    </cfRule>
  </conditionalFormatting>
  <conditionalFormatting sqref="B383:C383">
    <cfRule type="expression" dxfId="136" priority="70">
      <formula>$B383=""</formula>
    </cfRule>
  </conditionalFormatting>
  <conditionalFormatting sqref="C384 A384">
    <cfRule type="expression" dxfId="135" priority="69">
      <formula>$B384&lt;&gt;"Choose provider from the list"</formula>
    </cfRule>
  </conditionalFormatting>
  <conditionalFormatting sqref="B384">
    <cfRule type="expression" dxfId="134" priority="68">
      <formula>$B384&lt;&gt;"Choose provider from the list"</formula>
    </cfRule>
  </conditionalFormatting>
  <conditionalFormatting sqref="A385:C385">
    <cfRule type="expression" dxfId="133" priority="59">
      <formula>$B384&lt;&gt;"Choose provider from the list"</formula>
    </cfRule>
  </conditionalFormatting>
  <conditionalFormatting sqref="B386">
    <cfRule type="expression" dxfId="132" priority="60">
      <formula>$B386="Please revise entries or contact OLSC for assistance"</formula>
    </cfRule>
    <cfRule type="expression" dxfId="131" priority="61">
      <formula>$B386="Entry Form complete - proceed to Summary sheet"</formula>
    </cfRule>
    <cfRule type="expression" dxfId="130" priority="66">
      <formula>$B386&lt;&gt;"Total value of expenditure"</formula>
    </cfRule>
  </conditionalFormatting>
  <conditionalFormatting sqref="C386 A386">
    <cfRule type="expression" dxfId="129" priority="65">
      <formula>$B386&lt;&gt;"Total value of expenditure"</formula>
    </cfRule>
  </conditionalFormatting>
  <conditionalFormatting sqref="A383">
    <cfRule type="expression" dxfId="128" priority="64">
      <formula>$B383&lt;&gt;"Is another domestic provider required?"</formula>
    </cfRule>
  </conditionalFormatting>
  <conditionalFormatting sqref="B383">
    <cfRule type="expression" dxfId="127" priority="63">
      <formula>$B383="Please confirm that the details entered into the Entry Form are correct"</formula>
    </cfRule>
  </conditionalFormatting>
  <conditionalFormatting sqref="C383">
    <cfRule type="expression" dxfId="126" priority="62">
      <formula>$B383="Please confirm that the details entered into the Entry Form are correct"</formula>
    </cfRule>
  </conditionalFormatting>
  <conditionalFormatting sqref="B385:C385">
    <cfRule type="expression" dxfId="125" priority="67">
      <formula>$B385&lt;&gt;"Type provider name manually"</formula>
    </cfRule>
  </conditionalFormatting>
  <conditionalFormatting sqref="A382:A386">
    <cfRule type="expression" dxfId="124" priority="58">
      <formula>$B$1="Legal Services Expenditure Report 2020-21"</formula>
    </cfRule>
  </conditionalFormatting>
  <conditionalFormatting sqref="A387:C387">
    <cfRule type="expression" dxfId="123" priority="57">
      <formula>$B386&lt;&gt;"Total value of expenditure"</formula>
    </cfRule>
  </conditionalFormatting>
  <conditionalFormatting sqref="B388:C388">
    <cfRule type="expression" dxfId="122" priority="56">
      <formula>$B388=""</formula>
    </cfRule>
  </conditionalFormatting>
  <conditionalFormatting sqref="C389 A389">
    <cfRule type="expression" dxfId="121" priority="55">
      <formula>$B389&lt;&gt;"Choose provider from the list"</formula>
    </cfRule>
  </conditionalFormatting>
  <conditionalFormatting sqref="B389">
    <cfRule type="expression" dxfId="120" priority="54">
      <formula>$B389&lt;&gt;"Choose provider from the list"</formula>
    </cfRule>
  </conditionalFormatting>
  <conditionalFormatting sqref="A390:C390">
    <cfRule type="expression" dxfId="119" priority="45">
      <formula>$B389&lt;&gt;"Choose provider from the list"</formula>
    </cfRule>
  </conditionalFormatting>
  <conditionalFormatting sqref="B391">
    <cfRule type="expression" dxfId="118" priority="46">
      <formula>$B391="Please revise entries or contact OLSC for assistance"</formula>
    </cfRule>
    <cfRule type="expression" dxfId="117" priority="47">
      <formula>$B391="Entry Form complete - proceed to Summary sheet"</formula>
    </cfRule>
    <cfRule type="expression" dxfId="116" priority="52">
      <formula>$B391&lt;&gt;"Total value of expenditure"</formula>
    </cfRule>
  </conditionalFormatting>
  <conditionalFormatting sqref="C391 A391">
    <cfRule type="expression" dxfId="115" priority="51">
      <formula>$B391&lt;&gt;"Total value of expenditure"</formula>
    </cfRule>
  </conditionalFormatting>
  <conditionalFormatting sqref="A388">
    <cfRule type="expression" dxfId="114" priority="50">
      <formula>$B388&lt;&gt;"Is another domestic provider required?"</formula>
    </cfRule>
  </conditionalFormatting>
  <conditionalFormatting sqref="B388">
    <cfRule type="expression" dxfId="113" priority="49">
      <formula>$B388="Please confirm that the details entered into the Entry Form are correct"</formula>
    </cfRule>
  </conditionalFormatting>
  <conditionalFormatting sqref="C388">
    <cfRule type="expression" dxfId="112" priority="48">
      <formula>$B388="Please confirm that the details entered into the Entry Form are correct"</formula>
    </cfRule>
  </conditionalFormatting>
  <conditionalFormatting sqref="B390:C390">
    <cfRule type="expression" dxfId="111" priority="53">
      <formula>$B390&lt;&gt;"Type provider name manually"</formula>
    </cfRule>
  </conditionalFormatting>
  <conditionalFormatting sqref="A387:A391">
    <cfRule type="expression" dxfId="110" priority="44">
      <formula>$B$1="Legal Services Expenditure Report 2020-21"</formula>
    </cfRule>
  </conditionalFormatting>
  <conditionalFormatting sqref="A392:C392">
    <cfRule type="expression" dxfId="109" priority="43">
      <formula>$B391&lt;&gt;"Total value of expenditure"</formula>
    </cfRule>
  </conditionalFormatting>
  <conditionalFormatting sqref="B393:C393">
    <cfRule type="expression" dxfId="108" priority="42">
      <formula>$B393=""</formula>
    </cfRule>
  </conditionalFormatting>
  <conditionalFormatting sqref="C394 A394">
    <cfRule type="expression" dxfId="107" priority="41">
      <formula>$B394&lt;&gt;"Choose provider from the list"</formula>
    </cfRule>
  </conditionalFormatting>
  <conditionalFormatting sqref="B394">
    <cfRule type="expression" dxfId="106" priority="40">
      <formula>$B394&lt;&gt;"Choose provider from the list"</formula>
    </cfRule>
  </conditionalFormatting>
  <conditionalFormatting sqref="A395:C395">
    <cfRule type="expression" dxfId="105" priority="31">
      <formula>$B394&lt;&gt;"Choose provider from the list"</formula>
    </cfRule>
  </conditionalFormatting>
  <conditionalFormatting sqref="B396">
    <cfRule type="expression" dxfId="104" priority="32">
      <formula>$B396="Please revise entries or contact OLSC for assistance"</formula>
    </cfRule>
    <cfRule type="expression" dxfId="103" priority="33">
      <formula>$B396="Entry Form complete - proceed to Summary sheet"</formula>
    </cfRule>
    <cfRule type="expression" dxfId="102" priority="38">
      <formula>$B396&lt;&gt;"Total value of expenditure"</formula>
    </cfRule>
  </conditionalFormatting>
  <conditionalFormatting sqref="C396 A396">
    <cfRule type="expression" dxfId="101" priority="37">
      <formula>$B396&lt;&gt;"Total value of expenditure"</formula>
    </cfRule>
  </conditionalFormatting>
  <conditionalFormatting sqref="A393">
    <cfRule type="expression" dxfId="100" priority="36">
      <formula>$B393&lt;&gt;"Is another domestic provider required?"</formula>
    </cfRule>
  </conditionalFormatting>
  <conditionalFormatting sqref="B393">
    <cfRule type="expression" dxfId="99" priority="35">
      <formula>$B393="Please confirm that the details entered into the Entry Form are correct"</formula>
    </cfRule>
  </conditionalFormatting>
  <conditionalFormatting sqref="C393">
    <cfRule type="expression" dxfId="98" priority="34">
      <formula>$B393="Please confirm that the details entered into the Entry Form are correct"</formula>
    </cfRule>
  </conditionalFormatting>
  <conditionalFormatting sqref="B395:C395">
    <cfRule type="expression" dxfId="97" priority="39">
      <formula>$B395&lt;&gt;"Type provider name manually"</formula>
    </cfRule>
  </conditionalFormatting>
  <conditionalFormatting sqref="A392:A396">
    <cfRule type="expression" dxfId="96" priority="30">
      <formula>$B$1="Legal Services Expenditure Report 2020-21"</formula>
    </cfRule>
  </conditionalFormatting>
  <conditionalFormatting sqref="A397:C397">
    <cfRule type="expression" dxfId="95" priority="29">
      <formula>$B396&lt;&gt;"Total value of expenditure"</formula>
    </cfRule>
  </conditionalFormatting>
  <conditionalFormatting sqref="B398:C398">
    <cfRule type="expression" dxfId="94" priority="28">
      <formula>$B398=""</formula>
    </cfRule>
  </conditionalFormatting>
  <conditionalFormatting sqref="C399 A399">
    <cfRule type="expression" dxfId="93" priority="27">
      <formula>$B399&lt;&gt;"Choose provider from the list"</formula>
    </cfRule>
  </conditionalFormatting>
  <conditionalFormatting sqref="B399">
    <cfRule type="expression" dxfId="92" priority="26">
      <formula>$B399&lt;&gt;"Choose provider from the list"</formula>
    </cfRule>
  </conditionalFormatting>
  <conditionalFormatting sqref="A400:C400">
    <cfRule type="expression" dxfId="91" priority="17">
      <formula>$B399&lt;&gt;"Choose provider from the list"</formula>
    </cfRule>
  </conditionalFormatting>
  <conditionalFormatting sqref="B401">
    <cfRule type="expression" dxfId="90" priority="18">
      <formula>$B401="Please revise entries or contact OLSC for assistance"</formula>
    </cfRule>
    <cfRule type="expression" dxfId="89" priority="19">
      <formula>$B401="Entry Form complete - proceed to Summary sheet"</formula>
    </cfRule>
    <cfRule type="expression" dxfId="88" priority="24">
      <formula>$B401&lt;&gt;"Total value of expenditure"</formula>
    </cfRule>
  </conditionalFormatting>
  <conditionalFormatting sqref="C401 A401">
    <cfRule type="expression" dxfId="87" priority="23">
      <formula>$B401&lt;&gt;"Total value of expenditure"</formula>
    </cfRule>
  </conditionalFormatting>
  <conditionalFormatting sqref="A398">
    <cfRule type="expression" dxfId="86" priority="22">
      <formula>$B398&lt;&gt;"Is another domestic provider required?"</formula>
    </cfRule>
  </conditionalFormatting>
  <conditionalFormatting sqref="B398">
    <cfRule type="expression" dxfId="85" priority="21">
      <formula>$B398="Please confirm that the details entered into the Entry Form are correct"</formula>
    </cfRule>
  </conditionalFormatting>
  <conditionalFormatting sqref="C398">
    <cfRule type="expression" dxfId="84" priority="20">
      <formula>$B398="Please confirm that the details entered into the Entry Form are correct"</formula>
    </cfRule>
  </conditionalFormatting>
  <conditionalFormatting sqref="B400:C400">
    <cfRule type="expression" dxfId="83" priority="25">
      <formula>$B400&lt;&gt;"Type provider name manually"</formula>
    </cfRule>
  </conditionalFormatting>
  <conditionalFormatting sqref="A397:A401">
    <cfRule type="expression" dxfId="82" priority="16">
      <formula>$B$1="Legal Services Expenditure Report 2020-21"</formula>
    </cfRule>
  </conditionalFormatting>
  <conditionalFormatting sqref="A402:C402">
    <cfRule type="expression" dxfId="81" priority="15">
      <formula>$B401&lt;&gt;"Total value of expenditure"</formula>
    </cfRule>
  </conditionalFormatting>
  <conditionalFormatting sqref="B403:C403">
    <cfRule type="expression" dxfId="80" priority="14">
      <formula>$B403=""</formula>
    </cfRule>
  </conditionalFormatting>
  <conditionalFormatting sqref="C404 A404">
    <cfRule type="expression" dxfId="79" priority="13">
      <formula>$B404&lt;&gt;"Choose provider from the list"</formula>
    </cfRule>
  </conditionalFormatting>
  <conditionalFormatting sqref="B404">
    <cfRule type="expression" dxfId="78" priority="12">
      <formula>$B404&lt;&gt;"Choose provider from the list"</formula>
    </cfRule>
  </conditionalFormatting>
  <conditionalFormatting sqref="A405:C405">
    <cfRule type="expression" dxfId="77" priority="3">
      <formula>$B404&lt;&gt;"Choose provider from the list"</formula>
    </cfRule>
  </conditionalFormatting>
  <conditionalFormatting sqref="B406">
    <cfRule type="expression" dxfId="76" priority="4">
      <formula>$B406="Please revise entries or contact OLSC for assistance"</formula>
    </cfRule>
    <cfRule type="expression" dxfId="75" priority="5">
      <formula>$B406="Entry Form complete - proceed to Summary sheet"</formula>
    </cfRule>
    <cfRule type="expression" dxfId="74" priority="10">
      <formula>$B406&lt;&gt;"Total value of expenditure"</formula>
    </cfRule>
  </conditionalFormatting>
  <conditionalFormatting sqref="C406 A406">
    <cfRule type="expression" dxfId="73" priority="9">
      <formula>$B406&lt;&gt;"Total value of expenditure"</formula>
    </cfRule>
  </conditionalFormatting>
  <conditionalFormatting sqref="A403">
    <cfRule type="expression" dxfId="72" priority="8">
      <formula>$B403&lt;&gt;"Is another domestic provider required?"</formula>
    </cfRule>
  </conditionalFormatting>
  <conditionalFormatting sqref="B403">
    <cfRule type="expression" dxfId="71" priority="7">
      <formula>$B403="Please confirm that the details entered into the Entry Form are correct"</formula>
    </cfRule>
  </conditionalFormatting>
  <conditionalFormatting sqref="C403">
    <cfRule type="expression" dxfId="70" priority="6">
      <formula>$B403="Please confirm that the details entered into the Entry Form are correct"</formula>
    </cfRule>
  </conditionalFormatting>
  <conditionalFormatting sqref="B405:C405">
    <cfRule type="expression" dxfId="69" priority="11">
      <formula>$B405&lt;&gt;"Type provider name manually"</formula>
    </cfRule>
  </conditionalFormatting>
  <conditionalFormatting sqref="A402:A406">
    <cfRule type="expression" dxfId="68" priority="2">
      <formula>$B$1="Legal Services Expenditure Report 2020-21"</formula>
    </cfRule>
  </conditionalFormatting>
  <dataValidations count="2">
    <dataValidation type="list" allowBlank="1" showInputMessage="1" showErrorMessage="1" sqref="C6" xr:uid="{00000000-0002-0000-0000-000000000000}">
      <formula1>agencyname</formula1>
    </dataValidation>
    <dataValidation type="list" allowBlank="1" showInputMessage="1" showErrorMessage="1" sqref="C228:C229 C243:C244 C233:C234 C283:C284 C163:C164 C168:C169 C288:C289 C183:C184 C303:C304 C273:C274 C293:C294 C263:C264 C343:C344 C333:C334 C323:C324 C338:C339 C298:C299 C278:C279 C9 C238:C239 C253:C254 C313:C314 C318:C319 C258:C259 C308:C309 C248:C249 C173:C174 C328:C329 C223:C224 C213:C214 C268:C269 C203:C204 C218:C219 C178:C179 C193:C194 C198:C199 C188:C189 C208:C209 C348:C349 C363:C364 C353:C354 C403:C404 C393:C394 C383:C384 C398:C399 C358:C359 C373:C374 C378:C379 C368:C369 C388:C389 C157 C24 C31 C36 C44 C57 C69 C82 C94 C101 C106 C113 C123 C131 C141 C151" xr:uid="{00000000-0002-0000-0000-000001000000}">
      <formula1>INDIRECT(E9)</formula1>
    </dataValidation>
  </dataValidations>
  <pageMargins left="0.70866141732283472" right="0.70866141732283472" top="0.74803149606299213" bottom="0.74803149606299213" header="0.31496062992125984" footer="0.31496062992125984"/>
  <pageSetup paperSize="9" scale="77" fitToHeight="0" orientation="landscape" r:id="rId1"/>
  <rowBreaks count="13" manualBreakCount="13">
    <brk id="10" max="2" man="1"/>
    <brk id="25" max="2" man="1"/>
    <brk id="37" max="2" man="1"/>
    <brk id="45" max="2" man="1"/>
    <brk id="58" max="2" man="1"/>
    <brk id="70" max="2" man="1"/>
    <brk id="83" max="2" man="1"/>
    <brk id="95" max="2" man="1"/>
    <brk id="107" max="2" man="1"/>
    <brk id="114" max="2" man="1"/>
    <brk id="132" max="2" man="1"/>
    <brk id="142" max="2" man="1"/>
    <brk id="158" max="2" man="1"/>
  </rowBreaks>
  <colBreaks count="1" manualBreakCount="1">
    <brk id="1" max="406" man="1"/>
  </colBreaks>
  <extLst>
    <ext xmlns:x14="http://schemas.microsoft.com/office/spreadsheetml/2009/9/main" uri="{78C0D931-6437-407d-A8EE-F0AAD7539E65}">
      <x14:conditionalFormattings>
        <x14:conditionalFormatting xmlns:xm="http://schemas.microsoft.com/office/excel/2006/main">
          <x14:cfRule type="expression" priority="1" id="{40F8F69B-8F6F-4C99-B94C-4008AEC6D2F0}">
            <xm:f>'[Copy of OLSC - Legal Services Expenditure Report - LSER - Entity Template V.2  2022-23.XLSX]Entry Form'!#REF!&lt;&gt;"Entry form complete"</xm:f>
            <x14:dxf>
              <font>
                <color theme="0" tint="-0.24994659260841701"/>
              </font>
              <fill>
                <patternFill patternType="solid">
                  <fgColor theme="0"/>
                  <bgColor theme="0" tint="-0.24994659260841701"/>
                </patternFill>
              </fill>
              <border>
                <left/>
                <top/>
                <bottom/>
              </border>
            </x14:dxf>
          </x14:cfRule>
          <xm:sqref>C34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190"/>
  <sheetViews>
    <sheetView showGridLines="0" zoomScale="82" zoomScaleNormal="82" workbookViewId="0">
      <selection activeCell="C53" sqref="C53"/>
    </sheetView>
  </sheetViews>
  <sheetFormatPr defaultColWidth="23.453125" defaultRowHeight="24.5" x14ac:dyDescent="0.45"/>
  <cols>
    <col min="1" max="1" width="33.7265625" style="124" customWidth="1"/>
    <col min="2" max="2" width="100.7265625" style="124" customWidth="1"/>
    <col min="3" max="3" width="33.7265625" style="124" customWidth="1"/>
    <col min="4" max="4" width="10.54296875" style="123" customWidth="1"/>
    <col min="5" max="5" width="0.54296875" style="124" hidden="1" customWidth="1"/>
    <col min="6" max="16384" width="23.453125" style="124"/>
  </cols>
  <sheetData>
    <row r="1" spans="1:3" ht="41.25" customHeight="1" x14ac:dyDescent="0.55000000000000004">
      <c r="A1" s="120"/>
      <c r="B1" s="121" t="s">
        <v>731</v>
      </c>
      <c r="C1" s="122"/>
    </row>
    <row r="2" spans="1:3" ht="17.25" customHeight="1" x14ac:dyDescent="0.45">
      <c r="A2" s="212"/>
      <c r="B2" s="125"/>
      <c r="C2" s="126"/>
    </row>
    <row r="3" spans="1:3" ht="66.75" customHeight="1" x14ac:dyDescent="0.45">
      <c r="A3" s="213"/>
      <c r="B3" s="127" t="str">
        <f>Text!B167</f>
        <v xml:space="preserve">
The Summary sheet is only visible once you have confirmed that the Entry form is complete following inclusion of the last domestic legal services provider in section 5c.
</v>
      </c>
      <c r="C3" s="128"/>
    </row>
    <row r="4" spans="1:3" ht="18.75" customHeight="1" x14ac:dyDescent="0.45">
      <c r="A4" s="213"/>
      <c r="B4" s="129"/>
      <c r="C4" s="128"/>
    </row>
    <row r="5" spans="1:3" x14ac:dyDescent="0.45">
      <c r="A5" s="213"/>
      <c r="B5" s="130" t="str">
        <f>IF('Entry Form'!$B$407&lt;&gt;"Entry form complete","",'Entry Form'!C6)</f>
        <v>Australian Criminal Intelligence Commission</v>
      </c>
      <c r="C5" s="128"/>
    </row>
    <row r="6" spans="1:3" x14ac:dyDescent="0.45">
      <c r="A6" s="213"/>
      <c r="B6" s="130" t="str">
        <f>IF('Entry Form'!$B$407&lt;&gt;"Entry form complete","",'Entry Form'!C7)</f>
        <v>11 259 448 410</v>
      </c>
      <c r="C6" s="128"/>
    </row>
    <row r="7" spans="1:3" ht="18.75" customHeight="1" x14ac:dyDescent="0.45">
      <c r="A7" s="213"/>
      <c r="B7" s="131"/>
      <c r="C7" s="128"/>
    </row>
    <row r="8" spans="1:3" ht="25" thickBot="1" x14ac:dyDescent="0.5">
      <c r="A8" s="214"/>
      <c r="B8" s="132" t="str">
        <f>IF('Entry Form'!$B$407="Entry form complete","Summary Totals (explainer)","")</f>
        <v>Summary Totals (explainer)</v>
      </c>
      <c r="C8" s="133"/>
    </row>
    <row r="9" spans="1:3" ht="61.5" customHeight="1" thickTop="1" x14ac:dyDescent="0.45">
      <c r="A9" s="215" t="str">
        <f>IF('Entry Form'!$B$407="Entry form complete",Text!A169,"")</f>
        <v>What is this section?</v>
      </c>
      <c r="B9" s="135" t="str">
        <f>IF('Entry Form'!$B$407="Entry form complete",Text!B169,"")</f>
        <v xml:space="preserve">
In this section you are required to review and confirm the summary totals for your entity's 2022-23 Legal Services Expenditure Report based on what you entered in the Entry form sheet.
</v>
      </c>
      <c r="C9" s="136"/>
    </row>
    <row r="10" spans="1:3" ht="81" customHeight="1" x14ac:dyDescent="0.45">
      <c r="A10" s="215" t="str">
        <f>IF('Entry Form'!$B$407="Entry form complete",Text!A170,"")</f>
        <v>What are the summary totals?</v>
      </c>
      <c r="B10" s="135" t="str">
        <f>IF('Entry Form'!$B$407="Entry form complete",Text!B170,"")</f>
        <v xml:space="preserve">
Total Legal Services Expenditure = Internal + External Legal Services Expenditure
Internal Legal Services Expenditure = Internal Legal Services Expenditure
External Legal Services Expenditure = Counsel Fees + Disbursements + Professional Fees (does not include input from the legal services panels section)
</v>
      </c>
      <c r="C10" s="136"/>
    </row>
    <row r="11" spans="1:3" ht="78.75" customHeight="1" x14ac:dyDescent="0.45">
      <c r="A11" s="215" t="str">
        <f>IF('Entry Form'!$B$407="Entry form complete",Text!A171,"")</f>
        <v>Expenditure comparison</v>
      </c>
      <c r="B11" s="135" t="str">
        <f>IF('Entry Form'!$B$407="Entry form complete",Text!B171,"")</f>
        <v xml:space="preserve">
Your entity's total legal services expenditure for 2021-22 is displayed below (some MoG entities will display 0 expenditure). If there has been a significant change in expenditure in 2022-23 compared to 2021-22, you will be required to provide an explanation of the change in the commentary text box.
</v>
      </c>
      <c r="C11" s="136"/>
    </row>
    <row r="12" spans="1:3" ht="78.75" customHeight="1" x14ac:dyDescent="0.45">
      <c r="A12" s="215" t="str">
        <f>IF('Entry Form'!$B$407="Entry form complete",Text!A172,"")</f>
        <v xml:space="preserve">
Do I need to provide commentary?
</v>
      </c>
      <c r="B12" s="135" t="str">
        <f>IF('Entry Form'!$B$407="Entry form complete",Text!B172,"")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v>
      </c>
      <c r="C12" s="136"/>
    </row>
    <row r="13" spans="1:3" ht="80.25" customHeight="1" x14ac:dyDescent="0.45">
      <c r="A13" s="215" t="str">
        <f>IF('Entry Form'!$B$407="Entry form complete",Text!A173,"")</f>
        <v>Explaining a significant change in expenditure</v>
      </c>
      <c r="B13" s="135" t="str">
        <f>IF('Entry Form'!$B$407="Entry form complete",Text!B173,"")</f>
        <v xml:space="preserve">
Only a brief description of the reason or reasons for the increase/decrease is required. It is not necessary to go into the specifics of a matter. Any commentary provided will not be made public or shared with other entities.
</v>
      </c>
      <c r="C13" s="136"/>
    </row>
    <row r="14" spans="1:3" ht="18.75" customHeight="1" x14ac:dyDescent="0.45">
      <c r="A14" s="216"/>
      <c r="B14" s="137"/>
      <c r="C14" s="138"/>
    </row>
    <row r="15" spans="1:3" ht="37.5" customHeight="1" thickBot="1" x14ac:dyDescent="0.5">
      <c r="A15" s="214"/>
      <c r="B15" s="132" t="str">
        <f>IF('Entry Form'!$B$407="Entry form complete","Summary Totals","")</f>
        <v>Summary Totals</v>
      </c>
      <c r="C15" s="133"/>
    </row>
    <row r="16" spans="1:3" ht="25" thickTop="1" x14ac:dyDescent="0.45">
      <c r="A16" s="217"/>
      <c r="B16" s="243" t="str">
        <f>IF('Entry Form'!$B$407="Entry form complete","Total Legal Services Expenditure","")</f>
        <v>Total Legal Services Expenditure</v>
      </c>
      <c r="C16" s="140">
        <f>IF('Entry Form'!$B$407&lt;&gt;"Entry form complete","",$C$17+$C$18)</f>
        <v>7257778</v>
      </c>
    </row>
    <row r="17" spans="1:5" x14ac:dyDescent="0.45">
      <c r="A17" s="217"/>
      <c r="B17" s="243" t="str">
        <f>IF('Entry Form'!$B$407="Entry form complete","Total Internal Legal Services Expenditure","")</f>
        <v>Total Internal Legal Services Expenditure</v>
      </c>
      <c r="C17" s="140">
        <f>IF('Entry Form'!$B$407&lt;&gt;"Entry form complete","",'Entry Form'!$C$34)</f>
        <v>5644130</v>
      </c>
    </row>
    <row r="18" spans="1:5" x14ac:dyDescent="0.45">
      <c r="A18" s="217"/>
      <c r="B18" s="243" t="str">
        <f>IF('Entry Form'!$B$407="Entry form complete","Total External Legal Services Expenditure","")</f>
        <v>Total External Legal Services Expenditure</v>
      </c>
      <c r="C18" s="140">
        <f>IF('Entry Form'!$B$407&lt;&gt;"Entry form complete","",SUM(externalsum))</f>
        <v>1613648</v>
      </c>
    </row>
    <row r="19" spans="1:5" x14ac:dyDescent="0.45">
      <c r="A19" s="217"/>
      <c r="B19" s="243" t="str">
        <f>IF('Entry Form'!$B$407="Entry form complete","Total value of briefs to Counsel","")</f>
        <v>Total value of briefs to Counsel</v>
      </c>
      <c r="C19" s="140">
        <f>IF('Entry Form'!$B$407&lt;&gt;"Entry form complete","",SUM(counselsum))</f>
        <v>460862</v>
      </c>
    </row>
    <row r="20" spans="1:5" x14ac:dyDescent="0.45">
      <c r="A20" s="217"/>
      <c r="B20" s="243" t="str">
        <f>IF('Entry Form'!$B$407="Entry form complete","Total value of briefs to Male Counsel","")</f>
        <v>Total value of briefs to Male Counsel</v>
      </c>
      <c r="C20" s="140">
        <f>IF('Entry Form'!$B$407&lt;&gt;"Entry form complete","",SUM(malesum))</f>
        <v>132653</v>
      </c>
    </row>
    <row r="21" spans="1:5" x14ac:dyDescent="0.45">
      <c r="A21" s="217"/>
      <c r="B21" s="243" t="str">
        <f>IF('Entry Form'!$B$407="Entry form complete","Total value of briefs to Female Counsel","")</f>
        <v>Total value of briefs to Female Counsel</v>
      </c>
      <c r="C21" s="140">
        <f>IF('Entry Form'!$B$407&lt;&gt;"Entry form complete","",SUM(femalesum))</f>
        <v>328209</v>
      </c>
    </row>
    <row r="22" spans="1:5" x14ac:dyDescent="0.45">
      <c r="A22" s="217"/>
      <c r="B22" s="243" t="str">
        <f>IF('Entry Form'!$B$407="Entry form complete","Total value of briefs to gender X Counsel","")</f>
        <v>Total value of briefs to gender X Counsel</v>
      </c>
      <c r="C22" s="140">
        <f>IF('Entry Form'!$B$407&lt;&gt;"Entry form complete","",SUM(xsum))</f>
        <v>0</v>
      </c>
    </row>
    <row r="23" spans="1:5" x14ac:dyDescent="0.45">
      <c r="A23" s="217"/>
      <c r="B23" s="243" t="str">
        <f>IF('Entry Form'!$B$407="Entry form complete","Total value of disbursements (excluding counsel)","")</f>
        <v>Total value of disbursements (excluding counsel)</v>
      </c>
      <c r="C23" s="140">
        <f>IF('Entry Form'!$B$407&lt;&gt;"Entry form complete","",'Entry Form'!$C$104)</f>
        <v>29069</v>
      </c>
    </row>
    <row r="24" spans="1:5" x14ac:dyDescent="0.45">
      <c r="A24" s="217"/>
      <c r="B24" s="243" t="str">
        <f>IF('Entry Form'!$B$407="Entry form complete","Total value of professional fees","")</f>
        <v>Total value of professional fees</v>
      </c>
      <c r="C24" s="140">
        <f>IF('Entry Form'!$B$407&lt;&gt;"Entry form complete","",SUM(profees))</f>
        <v>1123717</v>
      </c>
    </row>
    <row r="25" spans="1:5" x14ac:dyDescent="0.45">
      <c r="A25" s="217"/>
      <c r="B25" s="243" t="str">
        <f>IF('Entry Form'!$B$407="Entry form complete","Total value of professional fees - 10% off-Panel allowance","")</f>
        <v>Total value of professional fees - 10% off-Panel allowance</v>
      </c>
      <c r="C25" s="140">
        <f>IF('Entry Form'!$B$407&lt;&gt;"Entry form complete","",'Entry Form'!$C$128)</f>
        <v>0</v>
      </c>
    </row>
    <row r="26" spans="1:5" ht="27" customHeight="1" x14ac:dyDescent="0.45">
      <c r="A26" s="217"/>
      <c r="B26" s="243" t="str">
        <f>IF('Entry Form'!$B$407="Entry form complete","Total value of professional fees - Exemption from AGD","")</f>
        <v>Total value of professional fees - Exemption from AGD</v>
      </c>
      <c r="C26" s="140">
        <f>IF('Entry Form'!$B$407&lt;&gt;"Entry form complete","",'Entry Form'!$C$129)</f>
        <v>0</v>
      </c>
    </row>
    <row r="27" spans="1:5" x14ac:dyDescent="0.45">
      <c r="A27" s="217"/>
      <c r="B27" s="243" t="str">
        <f>IF('Entry Form'!$B$407="Entry form complete","Total number of briefs to counsel","")</f>
        <v>Total number of briefs to counsel</v>
      </c>
      <c r="C27" s="141">
        <f>IF('Entry Form'!$B$407&lt;&gt;"Entry form complete","",SUM(counselnumbers))</f>
        <v>41</v>
      </c>
    </row>
    <row r="28" spans="1:5" ht="25" thickBot="1" x14ac:dyDescent="0.5">
      <c r="A28" s="217"/>
      <c r="B28" s="142"/>
      <c r="C28" s="138"/>
    </row>
    <row r="29" spans="1:5" ht="25.5" thickTop="1" thickBot="1" x14ac:dyDescent="0.5">
      <c r="A29" s="217"/>
      <c r="B29" s="236" t="str">
        <f>IF('Entry Form'!$B$407="Entry form complete","Are the Summary Totals correct?","")</f>
        <v>Are the Summary Totals correct?</v>
      </c>
      <c r="C29" s="118" t="s">
        <v>141</v>
      </c>
      <c r="D29" s="123" t="str">
        <f>IF(AND('Entry Form'!B407="Entry Form complete",C29=""),"E","")</f>
        <v/>
      </c>
      <c r="E29" s="144" t="str">
        <f>IF(B29="Are the Summary Totals correct?","E","")</f>
        <v>E</v>
      </c>
    </row>
    <row r="30" spans="1:5" ht="25.5" thickTop="1" thickBot="1" x14ac:dyDescent="0.5">
      <c r="A30" s="218"/>
      <c r="B30" s="145" t="str">
        <f>IF('Entry Form'!B407&lt;&gt;"Entry Form complete","",IF(AND($B$29="Are the Summary Totals correct?",$C$29="Yes"),"Proceed to commentary",IF(AND($B$29="Are the Summary Totals correct?",$C$29="No"),"Please return to Entry Form and review entries","Please review Summary Totals then select 'Yes' or 'No' from the drop down list")))</f>
        <v>Proceed to commentary</v>
      </c>
      <c r="C30" s="146"/>
    </row>
    <row r="31" spans="1:5" ht="36" customHeight="1" thickTop="1" thickBot="1" x14ac:dyDescent="0.5">
      <c r="A31" s="219"/>
      <c r="B31" s="147" t="str">
        <f>IF($B$30="Proceed to commentary","Comparison with 2020-21","")</f>
        <v>Comparison with 2020-21</v>
      </c>
      <c r="C31" s="148"/>
    </row>
    <row r="32" spans="1:5" ht="21" customHeight="1" thickTop="1" x14ac:dyDescent="0.45">
      <c r="A32" s="217"/>
      <c r="B32" s="139"/>
      <c r="C32" s="138"/>
    </row>
    <row r="33" spans="1:5" x14ac:dyDescent="0.45">
      <c r="A33" s="217"/>
      <c r="B33" s="241" t="str">
        <f>IF($B$30="Proceed to commentary","Total Legal Services Expenditure (2022-23)","")</f>
        <v>Total Legal Services Expenditure (2022-23)</v>
      </c>
      <c r="C33" s="149">
        <f>IF($B$30&lt;&gt;"Proceed to commentary","",$C$16)</f>
        <v>7257778</v>
      </c>
    </row>
    <row r="34" spans="1:5" x14ac:dyDescent="0.45">
      <c r="A34" s="217"/>
      <c r="B34" s="241" t="str">
        <f>IF($B$30="Proceed to commentary","Total Legal Services Expenditure (2021-22)","")</f>
        <v>Total Legal Services Expenditure (2021-22)</v>
      </c>
      <c r="C34" s="149">
        <f>IF($B$30&lt;&gt;"Proceed to commentary","",IF(ISNUMBER(MATCH($B$5,agencyname,0)),INDEX(total,MATCH($B$5,agencyname,0)),"N/A"))</f>
        <v>5481018</v>
      </c>
    </row>
    <row r="35" spans="1:5" ht="13.5" customHeight="1" x14ac:dyDescent="0.45">
      <c r="A35" s="217"/>
      <c r="B35" s="139"/>
      <c r="C35" s="150"/>
    </row>
    <row r="36" spans="1:5" x14ac:dyDescent="0.45">
      <c r="A36" s="217"/>
      <c r="B36" s="242" t="str">
        <f>IF($B$30="Proceed to commentary","Total expenditure change","")</f>
        <v>Total expenditure change</v>
      </c>
      <c r="C36" s="151">
        <f>IFERROR(IF($B$30&lt;&gt;"Proceed to commentary","",IF($C$34="N/A","N/A",$C$16-$C$34)),"")</f>
        <v>1776760</v>
      </c>
    </row>
    <row r="37" spans="1:5" x14ac:dyDescent="0.45">
      <c r="A37" s="217"/>
      <c r="B37" s="242" t="str">
        <f>IF($B$30="Proceed to commentary","Internal expenditure change","")</f>
        <v>Internal expenditure change</v>
      </c>
      <c r="C37" s="151">
        <f>IF($B$30&lt;&gt;"Proceed to commentary","",IF($C$34="N/A","N/A",IF(ISNUMBER(MATCH($B$5,agencyname,0)),$C$17-INDEX(internal,MATCH($B$5,agencyname,0)),"N/A")))</f>
        <v>1213940</v>
      </c>
    </row>
    <row r="38" spans="1:5" x14ac:dyDescent="0.45">
      <c r="A38" s="217"/>
      <c r="B38" s="242" t="str">
        <f>IF($B$30="Proceed to commentary","External expenditure change","")</f>
        <v>External expenditure change</v>
      </c>
      <c r="C38" s="151">
        <f>IF($B$30&lt;&gt;"Proceed to commentary","",IF($C$34="N/A","N/A",IF(ISNUMBER(MATCH($B$5,agencyname,0)),$C$18-INDEX(external,MATCH($B$5,agencyname,0)),"N/A")))</f>
        <v>562820</v>
      </c>
    </row>
    <row r="39" spans="1:5" ht="18.75" customHeight="1" thickBot="1" x14ac:dyDescent="0.5">
      <c r="A39" s="217"/>
      <c r="B39" s="142"/>
      <c r="C39" s="138"/>
    </row>
    <row r="40" spans="1:5" ht="25.5" thickTop="1" thickBot="1" x14ac:dyDescent="0.5">
      <c r="A40" s="218"/>
      <c r="B40" s="145" t="str">
        <f>IFERROR(IF($B$30&lt;&gt;"Proceed to commentary","",IF($C$36="N/A","Commentary OPTIONAL",IF(OR($C$36&gt;=2000000,$C$36&lt;=-2000000),"Commentary REQUIRED",IF(OR(AND($C$36&gt;=500000,($C$36/$C$34)&gt;=0.05),AND($C$36&lt;=-500000,($C$36/$C$34)&lt;=-0.05)),"Commentary REQUIRED",IF(AND($C$34&gt;500000,OR($C$36/$C$34&gt;=0.3,$C$36/$C$34&lt;=-0.3)),"Commentary REQUIRED","Commentary OPTIONAL"))))),"Commentary OPTIONAL")</f>
        <v>Commentary REQUIRED</v>
      </c>
      <c r="C40" s="146"/>
    </row>
    <row r="41" spans="1:5" ht="18.75" customHeight="1" thickTop="1" x14ac:dyDescent="0.45">
      <c r="A41" s="217"/>
      <c r="B41" s="142"/>
      <c r="C41" s="138"/>
    </row>
    <row r="42" spans="1:5" ht="71.25" customHeight="1" x14ac:dyDescent="0.45">
      <c r="A42" s="215" t="str">
        <f>IF($B$30="Proceed to commentary",A12,"")</f>
        <v xml:space="preserve">
Do I need to provide commentary?
</v>
      </c>
      <c r="B42" s="135" t="str">
        <f>IF($B$30="Proceed to commentary",B12,"")</f>
        <v xml:space="preserve">
Commentary is optional, unless there has been a significant change in total expenditure between last year and this year, in which case it is required. If commentary is required you cannot leave this section blank. Any commentary provided will not be made public or shared with other entities.
</v>
      </c>
      <c r="C42" s="136"/>
    </row>
    <row r="43" spans="1:5" ht="56.25" customHeight="1" x14ac:dyDescent="0.45">
      <c r="A43" s="215" t="str">
        <f>IF($B$30="Proceed to commentary",A13,"")</f>
        <v>Explaining a significant change in expenditure</v>
      </c>
      <c r="B43" s="135" t="str">
        <f>IF($B$30="Proceed to commentary",B13,"")</f>
        <v xml:space="preserve">
Only a brief description of the reason or reasons for the increase/decrease is required. It is not necessary to go into the specifics of a matter. Any commentary provided will not be made public or shared with other entities.
</v>
      </c>
      <c r="C43" s="136"/>
    </row>
    <row r="44" spans="1:5" ht="33" customHeight="1" x14ac:dyDescent="0.45">
      <c r="A44" s="220"/>
      <c r="B44" s="152" t="str">
        <f>IF($B$30&lt;&gt;"Proceed to commentary","","Please enter commentary below")</f>
        <v>Please enter commentary below</v>
      </c>
      <c r="C44" s="153"/>
    </row>
    <row r="45" spans="1:5" ht="143.25" customHeight="1" x14ac:dyDescent="0.45">
      <c r="A45" s="221"/>
      <c r="B45" s="119" t="s">
        <v>826</v>
      </c>
      <c r="C45" s="155" t="str">
        <f>IF(B30&lt;&gt;"Proceed to commentary","",IF(AND(B40="Commentary REQUIRED",B45=""),"E",""))</f>
        <v/>
      </c>
    </row>
    <row r="46" spans="1:5" ht="21.75" customHeight="1" thickBot="1" x14ac:dyDescent="0.5">
      <c r="A46" s="221"/>
      <c r="B46" s="156"/>
      <c r="C46" s="136"/>
    </row>
    <row r="47" spans="1:5" ht="25.5" thickTop="1" thickBot="1" x14ac:dyDescent="0.5">
      <c r="A47" s="221"/>
      <c r="B47" s="236" t="str">
        <f>IF('Entry Form'!$B$407="Entry form complete","Have you finished entering commentary?","")</f>
        <v>Have you finished entering commentary?</v>
      </c>
      <c r="C47" s="118" t="s">
        <v>141</v>
      </c>
      <c r="D47" s="123" t="str">
        <f>IF(B30&lt;&gt;"Proceed to commentary","",IF(OR(AND(B40="Commentary REQUIRED",C45&lt;&gt;"E",C47=""),AND(B40="Commentary OPTIONAL",C47="")),"E",""))</f>
        <v/>
      </c>
      <c r="E47" s="144" t="str">
        <f>IF(B47="Have you finished entering commentary?","E","")</f>
        <v>E</v>
      </c>
    </row>
    <row r="48" spans="1:5" ht="25.5" thickTop="1" thickBot="1" x14ac:dyDescent="0.5">
      <c r="A48" s="218"/>
      <c r="B48" s="145" t="str">
        <f>IF($B$30&lt;&gt;"Proceed to commentary","",IF(D47="E","Pleas select 'Yes' or 'No' from the drop down list",IF(AND($C$47&lt;&gt;"",$B$40="Commentary required",$B$45=""),"You must provide commentary",IF($C$47="No","Please revise commentary",IF(C47="Yes","Proceed to final confirmation","Commentary incomplete")))))</f>
        <v>Proceed to final confirmation</v>
      </c>
      <c r="C48" s="146"/>
    </row>
    <row r="49" spans="1:5" ht="25" thickTop="1" x14ac:dyDescent="0.45">
      <c r="A49" s="217"/>
      <c r="B49" s="142"/>
      <c r="C49" s="138"/>
    </row>
    <row r="50" spans="1:5" x14ac:dyDescent="0.45">
      <c r="A50" s="220"/>
      <c r="B50" s="152" t="str">
        <f>IF($B$48&lt;&gt;"Proceed to final confirmation","","Please read below")</f>
        <v>Please read below</v>
      </c>
      <c r="C50" s="153"/>
    </row>
    <row r="51" spans="1:5" ht="166.5" customHeight="1" x14ac:dyDescent="0.45">
      <c r="A51" s="221"/>
      <c r="B51" s="157" t="str">
        <f>IF($B$48&lt;&gt;"Proceed to final confirmation","",Text!B175)</f>
        <v xml:space="preserve">
You have completed all of the required fields in your entity’s Legal Services Expenditure Report template for 2022-23. If you are satisfied that the information you have provided is correct, please provide your final confirmation below. Do not confirm unless you are satisfied your entries are correct. You can edit your template by returning to the Entry form sheet and revising your entries.
Once you have provided final confirmation, a final version of your entity’s Legal Services Expenditure Report for 2022-23 will appear below. The report is locked for editing, so if you notice incorrect details you will need to revise your entries in the Entry form sheet. If you encounter any issues you may contact OLSC for assistance.
</v>
      </c>
      <c r="C51" s="136"/>
    </row>
    <row r="52" spans="1:5" ht="25" thickBot="1" x14ac:dyDescent="0.5">
      <c r="A52" s="221"/>
      <c r="B52" s="158"/>
      <c r="C52" s="136"/>
    </row>
    <row r="53" spans="1:5" ht="25.5" thickTop="1" thickBot="1" x14ac:dyDescent="0.5">
      <c r="A53" s="221"/>
      <c r="B53" s="143" t="str">
        <f>IF($B$48="Proceed to final confirmation","Please provide final confirmation of your entity's legal services expenditure for 2022-23","")</f>
        <v>Please provide final confirmation of your entity's legal services expenditure for 2022-23</v>
      </c>
      <c r="C53" s="118" t="s">
        <v>608</v>
      </c>
      <c r="D53" s="123" t="str">
        <f>IF(B48&lt;&gt;"Proceed to final confirmation","",IF(C53="","E",""))</f>
        <v/>
      </c>
      <c r="E53" s="144" t="str">
        <f>IF(B53="Please provide final confirmation of your entity's legal services expenditure for 2022-23","B","")</f>
        <v>B</v>
      </c>
    </row>
    <row r="54" spans="1:5" ht="25.5" thickTop="1" thickBot="1" x14ac:dyDescent="0.5">
      <c r="A54" s="218"/>
      <c r="B54" s="145" t="str">
        <f>IF($B$48&lt;&gt;"Proceed to final confirmation","",IF(D53="E","Please select 'I confirm' or 'I do not confirm' from the drop down list",IF($C$53="I do not confirm","Please revise Entry Form or contact OLSC for assistance",IF(AND($B$53&lt;&gt;"",$C$53="I confirm"),"Report complete",""))))</f>
        <v>Report complete</v>
      </c>
      <c r="C54" s="146"/>
    </row>
    <row r="55" spans="1:5" ht="25" thickTop="1" x14ac:dyDescent="0.45">
      <c r="A55" s="222"/>
      <c r="B55" s="159"/>
      <c r="C55" s="160"/>
    </row>
    <row r="56" spans="1:5" ht="160.5" customHeight="1" x14ac:dyDescent="0.45">
      <c r="A56" s="221"/>
      <c r="B56" s="157" t="str">
        <f>IF($B$54&lt;&gt;"Report complete","",Text!B177)</f>
        <v xml:space="preserve">
Your 2022-23 Legal Services Expenditure Report is now complete.
Below is your entity's Legal Services Expenditure Report for 2022-23.
Please save this template as a .XLSX file using the following naming convention: OLSC – [Name of Entity] (acronym) – 2022-23 LSER – [date sent to OLSC] 
For example: OLSC – Attorney-General’s Department (AGD) – 2022-23 LSER – 1 August 2023
Please email this completed template to LSER@ag.gov.au
</v>
      </c>
      <c r="C56" s="136"/>
    </row>
    <row r="57" spans="1:5" x14ac:dyDescent="0.45">
      <c r="A57" s="221"/>
      <c r="B57" s="156"/>
      <c r="C57" s="136"/>
    </row>
    <row r="58" spans="1:5" ht="39.75" customHeight="1" thickBot="1" x14ac:dyDescent="0.6">
      <c r="A58" s="223"/>
      <c r="B58" s="161" t="s">
        <v>731</v>
      </c>
      <c r="C58" s="162"/>
    </row>
    <row r="59" spans="1:5" ht="25" thickTop="1" x14ac:dyDescent="0.45">
      <c r="A59" s="217"/>
      <c r="B59" s="142"/>
      <c r="C59" s="138"/>
    </row>
    <row r="60" spans="1:5" ht="53.25" customHeight="1" x14ac:dyDescent="0.45">
      <c r="A60" s="221"/>
      <c r="B60" s="206" t="str">
        <f>IF($B$54&lt;&gt;"Report complete","","Entity name")</f>
        <v>Entity name</v>
      </c>
      <c r="C60" s="163" t="str">
        <f>IF($B$54&lt;&gt;"Report complete","",$B5)</f>
        <v>Australian Criminal Intelligence Commission</v>
      </c>
    </row>
    <row r="61" spans="1:5" x14ac:dyDescent="0.45">
      <c r="A61" s="221"/>
      <c r="B61" s="207" t="str">
        <f>IF($B$54&lt;&gt;"Report complete","","ABN")</f>
        <v>ABN</v>
      </c>
      <c r="C61" s="164" t="str">
        <f>IF($B$54&lt;&gt;"Report complete","",$B6)</f>
        <v>11 259 448 410</v>
      </c>
    </row>
    <row r="62" spans="1:5" x14ac:dyDescent="0.45">
      <c r="A62" s="217"/>
      <c r="B62" s="142"/>
      <c r="C62" s="138"/>
    </row>
    <row r="63" spans="1:5" ht="25" thickBot="1" x14ac:dyDescent="0.5">
      <c r="A63" s="219"/>
      <c r="B63" s="147" t="str">
        <f>IF($B$54&lt;&gt;"Report complete","","Totals")</f>
        <v>Totals</v>
      </c>
      <c r="C63" s="148"/>
    </row>
    <row r="64" spans="1:5" ht="25" thickTop="1" x14ac:dyDescent="0.45">
      <c r="A64" s="221"/>
      <c r="B64" s="165"/>
      <c r="C64" s="136"/>
    </row>
    <row r="65" spans="1:3" x14ac:dyDescent="0.45">
      <c r="A65" s="221"/>
      <c r="B65" s="207" t="str">
        <f>IF($B$54&lt;&gt;"Report complete","","Total legal services expenditure")</f>
        <v>Total legal services expenditure</v>
      </c>
      <c r="C65" s="166">
        <f>IF($B$54&lt;&gt;"Report complete","",$C16)</f>
        <v>7257778</v>
      </c>
    </row>
    <row r="66" spans="1:3" x14ac:dyDescent="0.45">
      <c r="A66" s="221"/>
      <c r="B66" s="207" t="str">
        <f>IF($B$54&lt;&gt;"Report complete","","Total internal legal services expenditure")</f>
        <v>Total internal legal services expenditure</v>
      </c>
      <c r="C66" s="166">
        <f>IF($B$54&lt;&gt;"Report complete","",$C17)</f>
        <v>5644130</v>
      </c>
    </row>
    <row r="67" spans="1:3" x14ac:dyDescent="0.45">
      <c r="A67" s="221"/>
      <c r="B67" s="207" t="str">
        <f>IF($B$54&lt;&gt;"Report complete","","Total external legal services expenditure")</f>
        <v>Total external legal services expenditure</v>
      </c>
      <c r="C67" s="166">
        <f>IF($B$54&lt;&gt;"Report complete","",$C18)</f>
        <v>1613648</v>
      </c>
    </row>
    <row r="68" spans="1:3" x14ac:dyDescent="0.45">
      <c r="A68" s="221"/>
      <c r="B68" s="165"/>
      <c r="C68" s="136"/>
    </row>
    <row r="69" spans="1:3" ht="25" thickBot="1" x14ac:dyDescent="0.5">
      <c r="A69" s="219" t="str">
        <f>IF($B$54&lt;&gt;"Report complete","","Section 1")</f>
        <v>Section 1</v>
      </c>
      <c r="B69" s="147" t="str">
        <f>IF($B$54&lt;&gt;"Report complete","","Internal Legal Services Expenditure")</f>
        <v>Internal Legal Services Expenditure</v>
      </c>
      <c r="C69" s="148"/>
    </row>
    <row r="70" spans="1:3" ht="25" thickTop="1" x14ac:dyDescent="0.45">
      <c r="A70" s="221"/>
      <c r="B70" s="165"/>
      <c r="C70" s="136"/>
    </row>
    <row r="71" spans="1:3" x14ac:dyDescent="0.45">
      <c r="A71" s="221"/>
      <c r="B71" s="207" t="str">
        <f>IF($B$54&lt;&gt;"Report complete","","Total value of internal legal services expenditure")</f>
        <v>Total value of internal legal services expenditure</v>
      </c>
      <c r="C71" s="166">
        <f>IF($B$54&lt;&gt;"Report complete","",'Entry Form'!$C34)</f>
        <v>5644130</v>
      </c>
    </row>
    <row r="72" spans="1:3" x14ac:dyDescent="0.45">
      <c r="A72" s="221"/>
      <c r="B72" s="165"/>
      <c r="C72" s="136"/>
    </row>
    <row r="73" spans="1:3" ht="25" thickBot="1" x14ac:dyDescent="0.5">
      <c r="A73" s="219" t="str">
        <f>IF($B$54&lt;&gt;"Report complete","","Section 2")</f>
        <v>Section 2</v>
      </c>
      <c r="B73" s="147" t="str">
        <f>IF($B$54&lt;&gt;"Report complete","","Counsel Briefs")</f>
        <v>Counsel Briefs</v>
      </c>
      <c r="C73" s="148"/>
    </row>
    <row r="74" spans="1:3" ht="25" thickTop="1" x14ac:dyDescent="0.45">
      <c r="A74" s="221"/>
      <c r="B74" s="165"/>
      <c r="C74" s="136"/>
    </row>
    <row r="75" spans="1:3" x14ac:dyDescent="0.45">
      <c r="A75" s="221"/>
      <c r="B75" s="207" t="str">
        <f>IF($B$54&lt;&gt;"Report complete","","Total number of briefs to counsel")</f>
        <v>Total number of briefs to counsel</v>
      </c>
      <c r="C75" s="203">
        <f>IF($B$54&lt;&gt;"Report complete","",SUM(C93,C111))</f>
        <v>41</v>
      </c>
    </row>
    <row r="76" spans="1:3" x14ac:dyDescent="0.45">
      <c r="A76" s="221"/>
      <c r="B76" s="207" t="str">
        <f>IF($B$54&lt;&gt;"Report complete","","Total value of briefs to counsel")</f>
        <v>Total value of briefs to counsel</v>
      </c>
      <c r="C76" s="166">
        <f>IF($B$54&lt;&gt;"Report complete","",SUM(C94,C112))</f>
        <v>460862</v>
      </c>
    </row>
    <row r="77" spans="1:3" x14ac:dyDescent="0.45">
      <c r="A77" s="221"/>
      <c r="B77" s="165"/>
      <c r="C77" s="136"/>
    </row>
    <row r="78" spans="1:3" ht="25" thickBot="1" x14ac:dyDescent="0.5">
      <c r="A78" s="224" t="str">
        <f>IF($B$54&lt;&gt;"Report complete","","Section 2a")</f>
        <v>Section 2a</v>
      </c>
      <c r="B78" s="167" t="str">
        <f>IF($B$54&lt;&gt;"Report complete","","Junior Counsel (direct briefs)")</f>
        <v>Junior Counsel (direct briefs)</v>
      </c>
      <c r="C78" s="168"/>
    </row>
    <row r="79" spans="1:3" x14ac:dyDescent="0.45">
      <c r="A79" s="221"/>
      <c r="B79" s="208" t="str">
        <f>IF($B$54&lt;&gt;"Report complete","","Total number of direct briefs to male junior counsel")</f>
        <v>Total number of direct briefs to male junior counsel</v>
      </c>
      <c r="C79" s="204">
        <f>IF($B$54&lt;&gt;"Report complete","",'Entry Form'!$C48)</f>
        <v>7</v>
      </c>
    </row>
    <row r="80" spans="1:3" x14ac:dyDescent="0.45">
      <c r="A80" s="221"/>
      <c r="B80" s="209" t="str">
        <f>IF($B$54&lt;&gt;"Report complete","","Total value of direct briefs to male junior counsel")</f>
        <v>Total value of direct briefs to male junior counsel</v>
      </c>
      <c r="C80" s="166">
        <f>IF($B$54&lt;&gt;"Report complete","",'Entry Form'!$C49)</f>
        <v>6716</v>
      </c>
    </row>
    <row r="81" spans="1:3" x14ac:dyDescent="0.45">
      <c r="A81" s="221"/>
      <c r="B81" s="208" t="str">
        <f>IF($B$54&lt;&gt;"Report complete","","Total number of direct briefs to female junior counsel")</f>
        <v>Total number of direct briefs to female junior counsel</v>
      </c>
      <c r="C81" s="204">
        <f>IF($B$54&lt;&gt;"Report complete","",'Entry Form'!$C51)</f>
        <v>2</v>
      </c>
    </row>
    <row r="82" spans="1:3" x14ac:dyDescent="0.45">
      <c r="A82" s="221"/>
      <c r="B82" s="209" t="str">
        <f>IF($B$54&lt;&gt;"Report complete","","Total value of direct briefs to female junior counsel")</f>
        <v>Total value of direct briefs to female junior counsel</v>
      </c>
      <c r="C82" s="166">
        <f>IF($B$54&lt;&gt;"Report complete","",'Entry Form'!$C52)</f>
        <v>6745</v>
      </c>
    </row>
    <row r="83" spans="1:3" x14ac:dyDescent="0.45">
      <c r="A83" s="221"/>
      <c r="B83" s="208" t="str">
        <f>IF($B$54&lt;&gt;"Report complete","","Total number of direct briefs to gender X junior counsel")</f>
        <v>Total number of direct briefs to gender X junior counsel</v>
      </c>
      <c r="C83" s="204">
        <f>IF($B$54&lt;&gt;"Report complete","",'Entry Form'!$C54)</f>
        <v>0</v>
      </c>
    </row>
    <row r="84" spans="1:3" x14ac:dyDescent="0.45">
      <c r="A84" s="221"/>
      <c r="B84" s="209" t="str">
        <f>IF($B$54&lt;&gt;"Report complete","","Total value of direct briefs to gender X junior counsel")</f>
        <v>Total value of direct briefs to gender X junior counsel</v>
      </c>
      <c r="C84" s="166">
        <f>IF($B$54&lt;&gt;"Report complete","",'Entry Form'!$C55)</f>
        <v>0</v>
      </c>
    </row>
    <row r="85" spans="1:3" ht="25" thickBot="1" x14ac:dyDescent="0.5">
      <c r="A85" s="221"/>
      <c r="B85" s="167" t="str">
        <f>IF($B$54&lt;&gt;"Report complete","","Junior Counsel (indirect briefs)")</f>
        <v>Junior Counsel (indirect briefs)</v>
      </c>
      <c r="C85" s="168"/>
    </row>
    <row r="86" spans="1:3" x14ac:dyDescent="0.45">
      <c r="A86" s="221"/>
      <c r="B86" s="208" t="str">
        <f>IF($B$54&lt;&gt;"Report complete","","Total number of indirect briefs to male junior counsel")</f>
        <v>Total number of indirect briefs to male junior counsel</v>
      </c>
      <c r="C86" s="204">
        <f>IF($B$54&lt;&gt;"Report complete","",'Entry Form'!$C60)</f>
        <v>5</v>
      </c>
    </row>
    <row r="87" spans="1:3" x14ac:dyDescent="0.45">
      <c r="A87" s="221"/>
      <c r="B87" s="209" t="str">
        <f>IF($B$54&lt;&gt;"Report complete","","Total value of indirect briefs to male junior counsel")</f>
        <v>Total value of indirect briefs to male junior counsel</v>
      </c>
      <c r="C87" s="166">
        <f>IF($B$54&lt;&gt;"Report complete","",'Entry Form'!$C61)</f>
        <v>65213</v>
      </c>
    </row>
    <row r="88" spans="1:3" x14ac:dyDescent="0.45">
      <c r="A88" s="221"/>
      <c r="B88" s="208" t="str">
        <f>IF($B$54&lt;&gt;"Report complete","","Total number of indirect briefs to female junior counsel")</f>
        <v>Total number of indirect briefs to female junior counsel</v>
      </c>
      <c r="C88" s="204">
        <f>IF($B$54&lt;&gt;"Report complete","",'Entry Form'!$C63)</f>
        <v>7</v>
      </c>
    </row>
    <row r="89" spans="1:3" x14ac:dyDescent="0.45">
      <c r="A89" s="221"/>
      <c r="B89" s="209" t="str">
        <f>IF($B$54&lt;&gt;"Report complete","","Total value of indirect briefs to female junior counsel")</f>
        <v>Total value of indirect briefs to female junior counsel</v>
      </c>
      <c r="C89" s="166">
        <f>IF($B$54&lt;&gt;"Report complete","",'Entry Form'!$C64)</f>
        <v>69587</v>
      </c>
    </row>
    <row r="90" spans="1:3" x14ac:dyDescent="0.45">
      <c r="A90" s="221"/>
      <c r="B90" s="208" t="str">
        <f>IF($B$54&lt;&gt;"Report complete","","Total number of indirect briefs to gender X junior counsel")</f>
        <v>Total number of indirect briefs to gender X junior counsel</v>
      </c>
      <c r="C90" s="204">
        <f>IF($B$54&lt;&gt;"Report complete","",'Entry Form'!$C66)</f>
        <v>0</v>
      </c>
    </row>
    <row r="91" spans="1:3" x14ac:dyDescent="0.45">
      <c r="A91" s="221"/>
      <c r="B91" s="209" t="str">
        <f>IF($B$54&lt;&gt;"Report complete","","Total value of indirect briefs to gender X junior counsel")</f>
        <v>Total value of indirect briefs to gender X junior counsel</v>
      </c>
      <c r="C91" s="166">
        <f>IF($B$54&lt;&gt;"Report complete","",'Entry Form'!$C67)</f>
        <v>0</v>
      </c>
    </row>
    <row r="92" spans="1:3" x14ac:dyDescent="0.45">
      <c r="A92" s="221"/>
      <c r="B92" s="165"/>
      <c r="C92" s="136"/>
    </row>
    <row r="93" spans="1:3" x14ac:dyDescent="0.45">
      <c r="A93" s="221"/>
      <c r="B93" s="207" t="str">
        <f>IF($B$54&lt;&gt;"Report complete","","Total number of briefs to junior counsel")</f>
        <v>Total number of briefs to junior counsel</v>
      </c>
      <c r="C93" s="205">
        <f>IF($B$54&lt;&gt;"Report complete","",SUM(C79,C81,C83,C86,C88,C90))</f>
        <v>21</v>
      </c>
    </row>
    <row r="94" spans="1:3" x14ac:dyDescent="0.45">
      <c r="A94" s="221"/>
      <c r="B94" s="207" t="str">
        <f>IF($B$54&lt;&gt;"Report complete","","Total value of briefs to junior counsel")</f>
        <v>Total value of briefs to junior counsel</v>
      </c>
      <c r="C94" s="169">
        <f>IF($B$54&lt;&gt;"Report complete","",SUM(C80,C82,C84,C87,C89,C91))</f>
        <v>148261</v>
      </c>
    </row>
    <row r="95" spans="1:3" x14ac:dyDescent="0.45">
      <c r="A95" s="221"/>
      <c r="B95" s="165"/>
      <c r="C95" s="136"/>
    </row>
    <row r="96" spans="1:3" ht="25" thickBot="1" x14ac:dyDescent="0.5">
      <c r="A96" s="224" t="str">
        <f>IF($B$54&lt;&gt;"Report complete","","Section 2b")</f>
        <v>Section 2b</v>
      </c>
      <c r="B96" s="167" t="str">
        <f>IF($B$54&lt;&gt;"Report complete","","Senior Counsel (direct briefs)")</f>
        <v>Senior Counsel (direct briefs)</v>
      </c>
      <c r="C96" s="168"/>
    </row>
    <row r="97" spans="1:3" x14ac:dyDescent="0.45">
      <c r="A97" s="221"/>
      <c r="B97" s="208" t="str">
        <f>IF($B$54&lt;&gt;"Report complete","","Total number of direct briefs to male senior counsel")</f>
        <v>Total number of direct briefs to male senior counsel</v>
      </c>
      <c r="C97" s="204">
        <f>IF($B$54&lt;&gt;"Report complete","",'Entry Form'!$C73)</f>
        <v>1</v>
      </c>
    </row>
    <row r="98" spans="1:3" x14ac:dyDescent="0.45">
      <c r="A98" s="221"/>
      <c r="B98" s="209" t="str">
        <f>IF($B$54&lt;&gt;"Report complete","","Total value of direct briefs to male senior counsel")</f>
        <v>Total value of direct briefs to male senior counsel</v>
      </c>
      <c r="C98" s="166">
        <f>IF($B$54&lt;&gt;"Report complete","",'Entry Form'!$C74)</f>
        <v>1312</v>
      </c>
    </row>
    <row r="99" spans="1:3" x14ac:dyDescent="0.45">
      <c r="A99" s="221"/>
      <c r="B99" s="208" t="str">
        <f>IF($B$54&lt;&gt;"Report complete","","Total number of direct briefs to female senior counsel")</f>
        <v>Total number of direct briefs to female senior counsel</v>
      </c>
      <c r="C99" s="204">
        <f>IF($B$54&lt;&gt;"Report complete","",'Entry Form'!$C76)</f>
        <v>10</v>
      </c>
    </row>
    <row r="100" spans="1:3" x14ac:dyDescent="0.45">
      <c r="A100" s="221"/>
      <c r="B100" s="209" t="str">
        <f>IF($B$54&lt;&gt;"Report complete","","Total value of direct briefs to female senior counsel")</f>
        <v>Total value of direct briefs to female senior counsel</v>
      </c>
      <c r="C100" s="166">
        <f>IF($B$54&lt;&gt;"Report complete","",'Entry Form'!$C77)</f>
        <v>185779</v>
      </c>
    </row>
    <row r="101" spans="1:3" x14ac:dyDescent="0.45">
      <c r="A101" s="221"/>
      <c r="B101" s="208" t="str">
        <f>IF($B$54&lt;&gt;"Report complete","","Total number of direct briefs to gender X senior counsel")</f>
        <v>Total number of direct briefs to gender X senior counsel</v>
      </c>
      <c r="C101" s="204">
        <f>IF($B$54&lt;&gt;"Report complete","",'Entry Form'!$C79)</f>
        <v>0</v>
      </c>
    </row>
    <row r="102" spans="1:3" x14ac:dyDescent="0.45">
      <c r="A102" s="221"/>
      <c r="B102" s="209" t="str">
        <f>IF($B$54&lt;&gt;"Report complete","","Total value of direct briefs to gender X senior counsel")</f>
        <v>Total value of direct briefs to gender X senior counsel</v>
      </c>
      <c r="C102" s="166">
        <f>IF($B$54&lt;&gt;"Report complete","",'Entry Form'!$C80)</f>
        <v>0</v>
      </c>
    </row>
    <row r="103" spans="1:3" ht="25" thickBot="1" x14ac:dyDescent="0.5">
      <c r="A103" s="221"/>
      <c r="B103" s="167" t="str">
        <f>IF($B$54&lt;&gt;"Report complete","","Senior Counsel (indirect briefs)")</f>
        <v>Senior Counsel (indirect briefs)</v>
      </c>
      <c r="C103" s="168"/>
    </row>
    <row r="104" spans="1:3" x14ac:dyDescent="0.45">
      <c r="A104" s="221"/>
      <c r="B104" s="208" t="str">
        <f>IF($B$54&lt;&gt;"Report complete","","Total number of indirect briefs to male senior counsel")</f>
        <v>Total number of indirect briefs to male senior counsel</v>
      </c>
      <c r="C104" s="204">
        <f>IF($B$54&lt;&gt;"Report complete","",'Entry Form'!$C85)</f>
        <v>5</v>
      </c>
    </row>
    <row r="105" spans="1:3" x14ac:dyDescent="0.45">
      <c r="A105" s="221"/>
      <c r="B105" s="209" t="str">
        <f>IF($B$54&lt;&gt;"Report complete","","Total value of indirect briefs to male senior counsel")</f>
        <v>Total value of indirect briefs to male senior counsel</v>
      </c>
      <c r="C105" s="166">
        <f>IF($B$54&lt;&gt;"Report complete","",'Entry Form'!$C86)</f>
        <v>59412</v>
      </c>
    </row>
    <row r="106" spans="1:3" x14ac:dyDescent="0.45">
      <c r="A106" s="221"/>
      <c r="B106" s="208" t="str">
        <f>IF($B$54&lt;&gt;"Report complete","","Total number of indirect briefs to female senior counsel")</f>
        <v>Total number of indirect briefs to female senior counsel</v>
      </c>
      <c r="C106" s="204">
        <f>IF($B$54&lt;&gt;"Report complete","",'Entry Form'!$C88)</f>
        <v>4</v>
      </c>
    </row>
    <row r="107" spans="1:3" x14ac:dyDescent="0.45">
      <c r="A107" s="221"/>
      <c r="B107" s="209" t="str">
        <f>IF($B$54&lt;&gt;"Report complete","","Total value of indirect briefs to female senior counsel")</f>
        <v>Total value of indirect briefs to female senior counsel</v>
      </c>
      <c r="C107" s="166">
        <f>IF($B$54&lt;&gt;"Report complete","",'Entry Form'!$C89)</f>
        <v>66098</v>
      </c>
    </row>
    <row r="108" spans="1:3" x14ac:dyDescent="0.45">
      <c r="A108" s="221"/>
      <c r="B108" s="208" t="str">
        <f>IF($B$54&lt;&gt;"Report complete","","Total number of indirect briefs to gender X senior counsel")</f>
        <v>Total number of indirect briefs to gender X senior counsel</v>
      </c>
      <c r="C108" s="204">
        <f>IF($B$54&lt;&gt;"Report complete","",'Entry Form'!$C91)</f>
        <v>0</v>
      </c>
    </row>
    <row r="109" spans="1:3" x14ac:dyDescent="0.45">
      <c r="A109" s="221"/>
      <c r="B109" s="209" t="str">
        <f>IF($B$54&lt;&gt;"Report complete","","Total value of indirect briefs to gender X senior counsel")</f>
        <v>Total value of indirect briefs to gender X senior counsel</v>
      </c>
      <c r="C109" s="166">
        <f>IF($B$54&lt;&gt;"Report complete","",'Entry Form'!$C92)</f>
        <v>0</v>
      </c>
    </row>
    <row r="110" spans="1:3" x14ac:dyDescent="0.45">
      <c r="A110" s="221"/>
      <c r="B110" s="165"/>
      <c r="C110" s="136"/>
    </row>
    <row r="111" spans="1:3" x14ac:dyDescent="0.45">
      <c r="A111" s="221"/>
      <c r="B111" s="207" t="str">
        <f>IF($B$54&lt;&gt;"Report complete","","Total number of briefs to senior counsel")</f>
        <v>Total number of briefs to senior counsel</v>
      </c>
      <c r="C111" s="205">
        <f>IF($B$54&lt;&gt;"Report complete","",SUM(C97,C99,C101,C104,C106,C108))</f>
        <v>20</v>
      </c>
    </row>
    <row r="112" spans="1:3" x14ac:dyDescent="0.45">
      <c r="A112" s="221"/>
      <c r="B112" s="207" t="str">
        <f>IF($B$54&lt;&gt;"Report complete","","Total value of briefs to senior counsel")</f>
        <v>Total value of briefs to senior counsel</v>
      </c>
      <c r="C112" s="169">
        <f>IF($B$54&lt;&gt;"Report complete","",SUM(C98,C100,C102,C105,C107,C109))</f>
        <v>312601</v>
      </c>
    </row>
    <row r="113" spans="1:3" x14ac:dyDescent="0.45">
      <c r="A113" s="221"/>
      <c r="B113" s="165"/>
      <c r="C113" s="136"/>
    </row>
    <row r="114" spans="1:3" ht="25" thickBot="1" x14ac:dyDescent="0.5">
      <c r="A114" s="219" t="str">
        <f>IF($B$54&lt;&gt;"Report complete","","Section 3")</f>
        <v>Section 3</v>
      </c>
      <c r="B114" s="147" t="str">
        <f>IF($B$54&lt;&gt;"Report complete","","Disbursements")</f>
        <v>Disbursements</v>
      </c>
      <c r="C114" s="148"/>
    </row>
    <row r="115" spans="1:3" ht="25" thickTop="1" x14ac:dyDescent="0.45">
      <c r="A115" s="221"/>
      <c r="B115" s="165"/>
      <c r="C115" s="136"/>
    </row>
    <row r="116" spans="1:3" x14ac:dyDescent="0.45">
      <c r="A116" s="221"/>
      <c r="B116" s="207" t="str">
        <f>IF($B$54&lt;&gt;"Report complete","","Total value of disbursements")</f>
        <v>Total value of disbursements</v>
      </c>
      <c r="C116" s="166">
        <f>IF($B$54&lt;&gt;"Report complete","",'Entry Form'!$C104)</f>
        <v>29069</v>
      </c>
    </row>
    <row r="117" spans="1:3" x14ac:dyDescent="0.45">
      <c r="A117" s="221"/>
      <c r="B117" s="165"/>
      <c r="C117" s="136"/>
    </row>
    <row r="118" spans="1:3" ht="25" thickBot="1" x14ac:dyDescent="0.5">
      <c r="A118" s="219" t="str">
        <f>IF($B$54&lt;&gt;"Report complete","","Section 4")</f>
        <v>Section 4</v>
      </c>
      <c r="B118" s="147" t="str">
        <f>IF($B$54&lt;&gt;"Report complete","","Legal Services Panels")</f>
        <v>Legal Services Panels</v>
      </c>
      <c r="C118" s="148"/>
    </row>
    <row r="119" spans="1:3" ht="25" thickTop="1" x14ac:dyDescent="0.45">
      <c r="A119" s="221"/>
      <c r="B119" s="165"/>
      <c r="C119" s="136"/>
    </row>
    <row r="120" spans="1:3" x14ac:dyDescent="0.45">
      <c r="A120" s="221"/>
      <c r="B120" s="207" t="str">
        <f>IF($B$54&lt;&gt;"Report complete","","Does your entity participate in the Whole of Australian Government Legal Services Panel")</f>
        <v>Does your entity participate in the Whole of Australian Government Legal Services Panel</v>
      </c>
      <c r="C120" s="170" t="str">
        <f>IF($B$54&lt;&gt;"Report complete","",'Entry Form'!$C117)</f>
        <v>Yes</v>
      </c>
    </row>
    <row r="121" spans="1:3" x14ac:dyDescent="0.45">
      <c r="A121" s="221"/>
      <c r="B121" s="210" t="str">
        <f>IF($C$120&lt;&gt;"Yes","","Panel fee for 2022-23")</f>
        <v>Panel fee for 2022-23</v>
      </c>
      <c r="C121" s="166">
        <f>IF($B$54&lt;&gt;"Report complete","",'Entry Form'!$C126)</f>
        <v>724.40114028360006</v>
      </c>
    </row>
    <row r="122" spans="1:3" x14ac:dyDescent="0.45">
      <c r="A122" s="221"/>
      <c r="B122" s="165"/>
      <c r="C122" s="136"/>
    </row>
    <row r="123" spans="1:3" x14ac:dyDescent="0.45">
      <c r="A123" s="221"/>
      <c r="B123" s="210" t="str">
        <f>IF($C$120&lt;&gt;"Yes","","Total value of professional fees expenditure on 10% off-Panel allowance")</f>
        <v>Total value of professional fees expenditure on 10% off-Panel allowance</v>
      </c>
      <c r="C123" s="166">
        <f>IF($B$54&lt;&gt;"Report complete","",'Entry Form'!$C128)</f>
        <v>0</v>
      </c>
    </row>
    <row r="124" spans="1:3" x14ac:dyDescent="0.45">
      <c r="A124" s="221"/>
      <c r="B124" s="210" t="str">
        <f>IF($C$120&lt;&gt;"Yes","","Total value of professional fees expenditure on exemptions from using the Panel")</f>
        <v>Total value of professional fees expenditure on exemptions from using the Panel</v>
      </c>
      <c r="C124" s="166">
        <f>IF($B$54&lt;&gt;"Report complete","",'Entry Form'!$C129)</f>
        <v>0</v>
      </c>
    </row>
    <row r="125" spans="1:3" x14ac:dyDescent="0.45">
      <c r="A125" s="221"/>
      <c r="B125" s="165"/>
      <c r="C125" s="136"/>
    </row>
    <row r="126" spans="1:3" x14ac:dyDescent="0.45">
      <c r="A126" s="221"/>
      <c r="B126" s="207" t="str">
        <f>IF($B$54&lt;&gt;"Report complete","","Total value of professional fees expenditure on Provision of Tax Technical Legal Services Panel for 2022-23")</f>
        <v>Total value of professional fees expenditure on Provision of Tax Technical Legal Services Panel for 2022-23</v>
      </c>
      <c r="C126" s="166">
        <f>IF($B$54&lt;&gt;"Report complete","",'Entry Form'!$C119)</f>
        <v>0</v>
      </c>
    </row>
    <row r="127" spans="1:3" x14ac:dyDescent="0.45">
      <c r="A127" s="221"/>
      <c r="B127" s="207" t="str">
        <f>IF($B$54&lt;&gt;"Report complete","","Total value of professional fees expenditure on ACCC/AER Competition and Consumer Panel 2019 for 2022-23")</f>
        <v>Total value of professional fees expenditure on ACCC/AER Competition and Consumer Panel 2019 for 2022-23</v>
      </c>
      <c r="C127" s="166">
        <f>IF($B$54&lt;&gt;"Report complete","",'Entry Form'!$C121)</f>
        <v>0</v>
      </c>
    </row>
    <row r="128" spans="1:3" x14ac:dyDescent="0.45">
      <c r="A128" s="221"/>
      <c r="B128" s="165"/>
      <c r="C128" s="136"/>
    </row>
    <row r="129" spans="1:3" ht="25" thickBot="1" x14ac:dyDescent="0.5">
      <c r="A129" s="219" t="str">
        <f>IF($B$54&lt;&gt;"Report complete","","Section 5")</f>
        <v>Section 5</v>
      </c>
      <c r="B129" s="147" t="str">
        <f>IF($B$54&lt;&gt;"Report complete","","Professional fees")</f>
        <v>Professional fees</v>
      </c>
      <c r="C129" s="148"/>
    </row>
    <row r="130" spans="1:3" ht="25" thickTop="1" x14ac:dyDescent="0.45">
      <c r="A130" s="221"/>
      <c r="B130" s="165"/>
      <c r="C130" s="136"/>
    </row>
    <row r="131" spans="1:3" x14ac:dyDescent="0.45">
      <c r="A131" s="221"/>
      <c r="B131" s="207" t="str">
        <f>IF($B$54&lt;&gt;"Report complete","","Total value of professional fees")</f>
        <v>Total value of professional fees</v>
      </c>
      <c r="C131" s="166">
        <f>IF($B$54&lt;&gt;"Report complete","",SUM(C142:C189,C139,C134:C136))</f>
        <v>1123717</v>
      </c>
    </row>
    <row r="132" spans="1:3" x14ac:dyDescent="0.45">
      <c r="A132" s="221"/>
      <c r="B132" s="165"/>
      <c r="C132" s="136"/>
    </row>
    <row r="133" spans="1:3" ht="25" thickBot="1" x14ac:dyDescent="0.5">
      <c r="A133" s="224" t="str">
        <f>IF($B$54&lt;&gt;"Report complete","","Section 5a")</f>
        <v>Section 5a</v>
      </c>
      <c r="B133" s="167" t="str">
        <f>IF($B$54&lt;&gt;"Report complete","","Other Government Providers")</f>
        <v>Other Government Providers</v>
      </c>
      <c r="C133" s="168"/>
    </row>
    <row r="134" spans="1:3" x14ac:dyDescent="0.45">
      <c r="A134" s="221"/>
      <c r="B134" s="210" t="str">
        <f>IF($B$54&lt;&gt;"Report complete","","Attorney-General's Department (DO NOT INCLUDE PANEL FEE)")</f>
        <v>Attorney-General's Department (DO NOT INCLUDE PANEL FEE)</v>
      </c>
      <c r="C134" s="166">
        <f>IF($B$54&lt;&gt;"Report complete","",'Entry Form'!$C145)</f>
        <v>0</v>
      </c>
    </row>
    <row r="135" spans="1:3" x14ac:dyDescent="0.45">
      <c r="A135" s="221"/>
      <c r="B135" s="210" t="str">
        <f>IF($B$54&lt;&gt;"Report complete","","Department of Foreign Affairs and Trade")</f>
        <v>Department of Foreign Affairs and Trade</v>
      </c>
      <c r="C135" s="166">
        <f>IF($B$54&lt;&gt;"Report complete","",'Entry Form'!$C147)</f>
        <v>0</v>
      </c>
    </row>
    <row r="136" spans="1:3" x14ac:dyDescent="0.45">
      <c r="A136" s="221"/>
      <c r="B136" s="210" t="str">
        <f>IF($B$54&lt;&gt;"Report complete","","Office of Parliamentary Counsel")</f>
        <v>Office of Parliamentary Counsel</v>
      </c>
      <c r="C136" s="166">
        <f>IF($B$54&lt;&gt;"Report complete","",'Entry Form'!$C149)</f>
        <v>0</v>
      </c>
    </row>
    <row r="137" spans="1:3" x14ac:dyDescent="0.45">
      <c r="A137" s="221"/>
      <c r="B137" s="165"/>
      <c r="C137" s="136"/>
    </row>
    <row r="138" spans="1:3" ht="25" thickBot="1" x14ac:dyDescent="0.5">
      <c r="A138" s="224" t="str">
        <f>IF($B$54&lt;&gt;"Report complete","","Section 5b")</f>
        <v>Section 5b</v>
      </c>
      <c r="B138" s="167" t="str">
        <f>IF($B$54&lt;&gt;"Report complete","","Overseas Legal Services Providers")</f>
        <v>Overseas Legal Services Providers</v>
      </c>
      <c r="C138" s="168"/>
    </row>
    <row r="139" spans="1:3" x14ac:dyDescent="0.45">
      <c r="A139" s="221"/>
      <c r="B139" s="210" t="str">
        <f>IF($B$54&lt;&gt;"Report complete","","Overseas firms (total figure)")</f>
        <v>Overseas firms (total figure)</v>
      </c>
      <c r="C139" s="166">
        <f>IF($B$54&lt;&gt;"Report complete","",'Entry Form'!$C155)</f>
        <v>0</v>
      </c>
    </row>
    <row r="140" spans="1:3" x14ac:dyDescent="0.45">
      <c r="A140" s="221"/>
      <c r="B140" s="165"/>
      <c r="C140" s="136"/>
    </row>
    <row r="141" spans="1:3" ht="25" thickBot="1" x14ac:dyDescent="0.5">
      <c r="A141" s="224" t="str">
        <f>IF($B$54&lt;&gt;"Report complete","","Section 5c")</f>
        <v>Section 5c</v>
      </c>
      <c r="B141" s="167" t="str">
        <f>IF($B$54&lt;&gt;"Report complete","","Domestic Providers")</f>
        <v>Domestic Providers</v>
      </c>
      <c r="C141" s="168"/>
    </row>
    <row r="142" spans="1:3" x14ac:dyDescent="0.45">
      <c r="A142" s="221"/>
      <c r="B142" s="208" t="str">
        <f>IF($B$54&lt;&gt;"Report complete","","Australian Government Solicitor")</f>
        <v>Australian Government Solicitor</v>
      </c>
      <c r="C142" s="166">
        <f>IF($B$54&lt;&gt;"Report complete","",'Entry Form'!$C161)</f>
        <v>820503</v>
      </c>
    </row>
    <row r="143" spans="1:3" x14ac:dyDescent="0.45">
      <c r="A143" s="221"/>
      <c r="B143" s="211" t="str">
        <f>IF($B$54&lt;&gt;"Report complete","",IF(NOT(ISNUMBER(MATCH(Formulas!$O2,domestic,0))),"",IF(INDEX(firmnames,MATCH(Formulas!$O2,domestic,0))&lt;&gt;"PROVIDER NOT LISTED",INDEX(firmnames,MATCH(Formulas!$O2,domestic,0)),INDEX(firmnames,MATCH(Formulas!$O2,domestic,0)+1))))</f>
        <v>Ashurst</v>
      </c>
      <c r="C143" s="166">
        <f>IF($B$54&lt;&gt;"Report complete","",IF(NOT(ISNUMBER(MATCH(Formulas!$O2,domestic,0))),"",INDEX(firmnames,MATCH(Formulas!$O2,domestic,0)+2)))</f>
        <v>81149</v>
      </c>
    </row>
    <row r="144" spans="1:3" x14ac:dyDescent="0.45">
      <c r="A144" s="221"/>
      <c r="B144" s="211" t="str">
        <f>IF($B$54&lt;&gt;"Report complete","",IF(NOT(ISNUMBER(MATCH(Formulas!$O3,domestic,0))),"",IF(INDEX(firmnames,MATCH(Formulas!$O3,domestic,0))&lt;&gt;"PROVIDER NOT LISTED",INDEX(firmnames,MATCH(Formulas!$O3,domestic,0)),INDEX(firmnames,MATCH(Formulas!$O3,domestic,0)+1))))</f>
        <v>Clayton Utz</v>
      </c>
      <c r="C144" s="166">
        <f>IF($B$54&lt;&gt;"Report complete","",IF(NOT(ISNUMBER(MATCH(Formulas!$O3,domestic,0))),"",INDEX(firmnames,MATCH(Formulas!$O3,domestic,0)+2)))</f>
        <v>136005</v>
      </c>
    </row>
    <row r="145" spans="1:3" x14ac:dyDescent="0.45">
      <c r="A145" s="221"/>
      <c r="B145" s="211" t="str">
        <f>IF($B$54&lt;&gt;"Report complete","",IF(NOT(ISNUMBER(MATCH(Formulas!$O4,domestic,0))),"",IF(INDEX(firmnames,MATCH(Formulas!$O4,domestic,0))&lt;&gt;"PROVIDER NOT LISTED",INDEX(firmnames,MATCH(Formulas!$O4,domestic,0)),INDEX(firmnames,MATCH(Formulas!$O4,domestic,0)+1))))</f>
        <v>King and Wood Mallesons</v>
      </c>
      <c r="C145" s="166">
        <f>IF($B$54&lt;&gt;"Report complete","",IF(NOT(ISNUMBER(MATCH(Formulas!$O4,domestic,0))),"",INDEX(firmnames,MATCH(Formulas!$O4,domestic,0)+2)))</f>
        <v>77842</v>
      </c>
    </row>
    <row r="146" spans="1:3" x14ac:dyDescent="0.45">
      <c r="A146" s="221"/>
      <c r="B146" s="211" t="str">
        <f>IF($B$54&lt;&gt;"Report complete","",IF(NOT(ISNUMBER(MATCH(Formulas!$O5,domestic,0))),"",IF(INDEX(firmnames,MATCH(Formulas!$O5,domestic,0))&lt;&gt;"PROVIDER NOT LISTED",INDEX(firmnames,MATCH(Formulas!$O5,domestic,0)),INDEX(firmnames,MATCH(Formulas!$O5,domestic,0)+1))))</f>
        <v>Maddocks</v>
      </c>
      <c r="C146" s="166">
        <f>IF($B$54&lt;&gt;"Report complete","",IF(NOT(ISNUMBER(MATCH(Formulas!$O5,domestic,0))),"",INDEX(firmnames,MATCH(Formulas!$O5,domestic,0)+2)))</f>
        <v>5500</v>
      </c>
    </row>
    <row r="147" spans="1:3" x14ac:dyDescent="0.45">
      <c r="A147" s="221"/>
      <c r="B147" s="211" t="str">
        <f>IF($B$54&lt;&gt;"Report complete","",IF(NOT(ISNUMBER(MATCH(Formulas!$O6,domestic,0))),"",IF(INDEX(firmnames,MATCH(Formulas!$O6,domestic,0))&lt;&gt;"PROVIDER NOT LISTED",INDEX(firmnames,MATCH(Formulas!$O6,domestic,0)),INDEX(firmnames,MATCH(Formulas!$O6,domestic,0)+1))))</f>
        <v>Norton Rose Fulbright</v>
      </c>
      <c r="C147" s="166">
        <f>IF($B$54&lt;&gt;"Report complete","",IF(NOT(ISNUMBER(MATCH(Formulas!$O6,domestic,0))),"",INDEX(firmnames,MATCH(Formulas!$O6,domestic,0)+2)))</f>
        <v>2718</v>
      </c>
    </row>
    <row r="148" spans="1:3" x14ac:dyDescent="0.45">
      <c r="A148" s="221"/>
      <c r="B148" s="211" t="str">
        <f>IF($B$54&lt;&gt;"Report complete","",IF(NOT(ISNUMBER(MATCH(Formulas!$O7,domestic,0))),"",IF(INDEX(firmnames,MATCH(Formulas!$O7,domestic,0))&lt;&gt;"PROVIDER NOT LISTED",INDEX(firmnames,MATCH(Formulas!$O7,domestic,0)),INDEX(firmnames,MATCH(Formulas!$O7,domestic,0)+1))))</f>
        <v/>
      </c>
      <c r="C148" s="166" t="str">
        <f>IF($B$54&lt;&gt;"Report complete","",IF(NOT(ISNUMBER(MATCH(Formulas!$O7,domestic,0))),"",INDEX(firmnames,MATCH(Formulas!$O7,domestic,0)+2)))</f>
        <v/>
      </c>
    </row>
    <row r="149" spans="1:3" x14ac:dyDescent="0.45">
      <c r="A149" s="221"/>
      <c r="B149" s="211" t="str">
        <f>IF($B$54&lt;&gt;"Report complete","",IF(NOT(ISNUMBER(MATCH(Formulas!$O8,domestic,0))),"",IF(INDEX(firmnames,MATCH(Formulas!$O8,domestic,0))&lt;&gt;"PROVIDER NOT LISTED",INDEX(firmnames,MATCH(Formulas!$O8,domestic,0)),INDEX(firmnames,MATCH(Formulas!$O8,domestic,0)+1))))</f>
        <v/>
      </c>
      <c r="C149" s="166" t="str">
        <f>IF($B$54&lt;&gt;"Report complete","",IF(NOT(ISNUMBER(MATCH(Formulas!$O8,domestic,0))),"",INDEX(firmnames,MATCH(Formulas!$O8,domestic,0)+2)))</f>
        <v/>
      </c>
    </row>
    <row r="150" spans="1:3" x14ac:dyDescent="0.45">
      <c r="A150" s="221"/>
      <c r="B150" s="211" t="str">
        <f>IF($B$54&lt;&gt;"Report complete","",IF(NOT(ISNUMBER(MATCH(Formulas!$O9,domestic,0))),"",IF(INDEX(firmnames,MATCH(Formulas!$O9,domestic,0))&lt;&gt;"PROVIDER NOT LISTED",INDEX(firmnames,MATCH(Formulas!$O9,domestic,0)),INDEX(firmnames,MATCH(Formulas!$O9,domestic,0)+1))))</f>
        <v/>
      </c>
      <c r="C150" s="166" t="str">
        <f>IF($B$54&lt;&gt;"Report complete","",IF(NOT(ISNUMBER(MATCH(Formulas!$O9,domestic,0))),"",INDEX(firmnames,MATCH(Formulas!$O9,domestic,0)+2)))</f>
        <v/>
      </c>
    </row>
    <row r="151" spans="1:3" x14ac:dyDescent="0.45">
      <c r="A151" s="221"/>
      <c r="B151" s="211" t="str">
        <f>IF($B$54&lt;&gt;"Report complete","",IF(NOT(ISNUMBER(MATCH(Formulas!$O10,domestic,0))),"",IF(INDEX(firmnames,MATCH(Formulas!$O10,domestic,0))&lt;&gt;"PROVIDER NOT LISTED",INDEX(firmnames,MATCH(Formulas!$O10,domestic,0)),INDEX(firmnames,MATCH(Formulas!$O10,domestic,0)+1))))</f>
        <v/>
      </c>
      <c r="C151" s="166" t="str">
        <f>IF($B$54&lt;&gt;"Report complete","",IF(NOT(ISNUMBER(MATCH(Formulas!$O10,domestic,0))),"",INDEX(firmnames,MATCH(Formulas!$O10,domestic,0)+2)))</f>
        <v/>
      </c>
    </row>
    <row r="152" spans="1:3" x14ac:dyDescent="0.45">
      <c r="A152" s="221"/>
      <c r="B152" s="211" t="str">
        <f>IF($B$54&lt;&gt;"Report complete","",IF(NOT(ISNUMBER(MATCH(Formulas!$O11,domestic,0))),"",IF(INDEX(firmnames,MATCH(Formulas!$O11,domestic,0))&lt;&gt;"PROVIDER NOT LISTED",INDEX(firmnames,MATCH(Formulas!$O11,domestic,0)),INDEX(firmnames,MATCH(Formulas!$O11,domestic,0)+1))))</f>
        <v/>
      </c>
      <c r="C152" s="166" t="str">
        <f>IF($B$54&lt;&gt;"Report complete","",IF(NOT(ISNUMBER(MATCH(Formulas!$O11,domestic,0))),"",INDEX(firmnames,MATCH(Formulas!$O11,domestic,0)+2)))</f>
        <v/>
      </c>
    </row>
    <row r="153" spans="1:3" x14ac:dyDescent="0.45">
      <c r="A153" s="221"/>
      <c r="B153" s="211" t="str">
        <f>IF($B$54&lt;&gt;"Report complete","",IF(NOT(ISNUMBER(MATCH(Formulas!$O12,domestic,0))),"",IF(INDEX(firmnames,MATCH(Formulas!$O12,domestic,0))&lt;&gt;"PROVIDER NOT LISTED",INDEX(firmnames,MATCH(Formulas!$O12,domestic,0)),INDEX(firmnames,MATCH(Formulas!$O12,domestic,0)+1))))</f>
        <v/>
      </c>
      <c r="C153" s="166" t="str">
        <f>IF($B$54&lt;&gt;"Report complete","",IF(NOT(ISNUMBER(MATCH(Formulas!$O12,domestic,0))),"",INDEX(firmnames,MATCH(Formulas!$O12,domestic,0)+2)))</f>
        <v/>
      </c>
    </row>
    <row r="154" spans="1:3" x14ac:dyDescent="0.45">
      <c r="A154" s="221"/>
      <c r="B154" s="211" t="str">
        <f>IF($B$54&lt;&gt;"Report complete","",IF(NOT(ISNUMBER(MATCH(Formulas!$O13,domestic,0))),"",IF(INDEX(firmnames,MATCH(Formulas!$O13,domestic,0))&lt;&gt;"PROVIDER NOT LISTED",INDEX(firmnames,MATCH(Formulas!$O13,domestic,0)),INDEX(firmnames,MATCH(Formulas!$O13,domestic,0)+1))))</f>
        <v/>
      </c>
      <c r="C154" s="166" t="str">
        <f>IF($B$54&lt;&gt;"Report complete","",IF(NOT(ISNUMBER(MATCH(Formulas!$O13,domestic,0))),"",INDEX(firmnames,MATCH(Formulas!$O13,domestic,0)+2)))</f>
        <v/>
      </c>
    </row>
    <row r="155" spans="1:3" x14ac:dyDescent="0.45">
      <c r="A155" s="221"/>
      <c r="B155" s="211" t="str">
        <f>IF($B$54&lt;&gt;"Report complete","",IF(NOT(ISNUMBER(MATCH(Formulas!$O14,domestic,0))),"",IF(INDEX(firmnames,MATCH(Formulas!$O14,domestic,0))&lt;&gt;"PROVIDER NOT LISTED",INDEX(firmnames,MATCH(Formulas!$O14,domestic,0)),INDEX(firmnames,MATCH(Formulas!$O14,domestic,0)+1))))</f>
        <v/>
      </c>
      <c r="C155" s="166" t="str">
        <f>IF($B$54&lt;&gt;"Report complete","",IF(NOT(ISNUMBER(MATCH(Formulas!$O14,domestic,0))),"",INDEX(firmnames,MATCH(Formulas!$O14,domestic,0)+2)))</f>
        <v/>
      </c>
    </row>
    <row r="156" spans="1:3" x14ac:dyDescent="0.45">
      <c r="A156" s="221"/>
      <c r="B156" s="211" t="str">
        <f>IF($B$54&lt;&gt;"Report complete","",IF(NOT(ISNUMBER(MATCH(Formulas!$O15,domestic,0))),"",IF(INDEX(firmnames,MATCH(Formulas!$O15,domestic,0))&lt;&gt;"PROVIDER NOT LISTED",INDEX(firmnames,MATCH(Formulas!$O15,domestic,0)),INDEX(firmnames,MATCH(Formulas!$O15,domestic,0)+1))))</f>
        <v/>
      </c>
      <c r="C156" s="166" t="str">
        <f>IF($B$54&lt;&gt;"Report complete","",IF(NOT(ISNUMBER(MATCH(Formulas!$O15,domestic,0))),"",INDEX(firmnames,MATCH(Formulas!$O15,domestic,0)+2)))</f>
        <v/>
      </c>
    </row>
    <row r="157" spans="1:3" x14ac:dyDescent="0.45">
      <c r="A157" s="221"/>
      <c r="B157" s="211" t="str">
        <f>IF($B$54&lt;&gt;"Report complete","",IF(NOT(ISNUMBER(MATCH(Formulas!$O16,domestic,0))),"",IF(INDEX(firmnames,MATCH(Formulas!$O16,domestic,0))&lt;&gt;"PROVIDER NOT LISTED",INDEX(firmnames,MATCH(Formulas!$O16,domestic,0)),INDEX(firmnames,MATCH(Formulas!$O16,domestic,0)+1))))</f>
        <v/>
      </c>
      <c r="C157" s="166" t="str">
        <f>IF($B$54&lt;&gt;"Report complete","",IF(NOT(ISNUMBER(MATCH(Formulas!$O16,domestic,0))),"",INDEX(firmnames,MATCH(Formulas!$O16,domestic,0)+2)))</f>
        <v/>
      </c>
    </row>
    <row r="158" spans="1:3" x14ac:dyDescent="0.45">
      <c r="A158" s="221"/>
      <c r="B158" s="211" t="str">
        <f>IF($B$54&lt;&gt;"Report complete","",IF(NOT(ISNUMBER(MATCH(Formulas!$O17,domestic,0))),"",IF(INDEX(firmnames,MATCH(Formulas!$O17,domestic,0))&lt;&gt;"PROVIDER NOT LISTED",INDEX(firmnames,MATCH(Formulas!$O17,domestic,0)),INDEX(firmnames,MATCH(Formulas!$O17,domestic,0)+1))))</f>
        <v/>
      </c>
      <c r="C158" s="166" t="str">
        <f>IF($B$54&lt;&gt;"Report complete","",IF(NOT(ISNUMBER(MATCH(Formulas!$O17,domestic,0))),"",INDEX(firmnames,MATCH(Formulas!$O17,domestic,0)+2)))</f>
        <v/>
      </c>
    </row>
    <row r="159" spans="1:3" x14ac:dyDescent="0.45">
      <c r="A159" s="221"/>
      <c r="B159" s="211" t="str">
        <f>IF($B$54&lt;&gt;"Report complete","",IF(NOT(ISNUMBER(MATCH(Formulas!$O18,domestic,0))),"",IF(INDEX(firmnames,MATCH(Formulas!$O18,domestic,0))&lt;&gt;"PROVIDER NOT LISTED",INDEX(firmnames,MATCH(Formulas!$O18,domestic,0)),INDEX(firmnames,MATCH(Formulas!$O18,domestic,0)+1))))</f>
        <v/>
      </c>
      <c r="C159" s="166" t="str">
        <f>IF($B$54&lt;&gt;"Report complete","",IF(NOT(ISNUMBER(MATCH(Formulas!$O18,domestic,0))),"",INDEX(firmnames,MATCH(Formulas!$O18,domestic,0)+2)))</f>
        <v/>
      </c>
    </row>
    <row r="160" spans="1:3" x14ac:dyDescent="0.45">
      <c r="A160" s="221"/>
      <c r="B160" s="211" t="str">
        <f>IF($B$54&lt;&gt;"Report complete","",IF(NOT(ISNUMBER(MATCH(Formulas!$O19,domestic,0))),"",IF(INDEX(firmnames,MATCH(Formulas!$O19,domestic,0))&lt;&gt;"PROVIDER NOT LISTED",INDEX(firmnames,MATCH(Formulas!$O19,domestic,0)),INDEX(firmnames,MATCH(Formulas!$O19,domestic,0)+1))))</f>
        <v/>
      </c>
      <c r="C160" s="166" t="str">
        <f>IF($B$54&lt;&gt;"Report complete","",IF(NOT(ISNUMBER(MATCH(Formulas!$O19,domestic,0))),"",INDEX(firmnames,MATCH(Formulas!$O19,domestic,0)+2)))</f>
        <v/>
      </c>
    </row>
    <row r="161" spans="1:3" x14ac:dyDescent="0.45">
      <c r="A161" s="221"/>
      <c r="B161" s="211" t="str">
        <f>IF($B$54&lt;&gt;"Report complete","",IF(NOT(ISNUMBER(MATCH(Formulas!$O20,domestic,0))),"",IF(INDEX(firmnames,MATCH(Formulas!$O20,domestic,0))&lt;&gt;"PROVIDER NOT LISTED",INDEX(firmnames,MATCH(Formulas!$O20,domestic,0)),INDEX(firmnames,MATCH(Formulas!$O20,domestic,0)+1))))</f>
        <v/>
      </c>
      <c r="C161" s="166" t="str">
        <f>IF($B$54&lt;&gt;"Report complete","",IF(NOT(ISNUMBER(MATCH(Formulas!$O20,domestic,0))),"",INDEX(firmnames,MATCH(Formulas!$O20,domestic,0)+2)))</f>
        <v/>
      </c>
    </row>
    <row r="162" spans="1:3" x14ac:dyDescent="0.45">
      <c r="A162" s="221"/>
      <c r="B162" s="211" t="str">
        <f>IF($B$54&lt;&gt;"Report complete","",IF(NOT(ISNUMBER(MATCH(Formulas!$O21,domestic,0))),"",IF(INDEX(firmnames,MATCH(Formulas!$O21,domestic,0))&lt;&gt;"PROVIDER NOT LISTED",INDEX(firmnames,MATCH(Formulas!$O21,domestic,0)),INDEX(firmnames,MATCH(Formulas!$O21,domestic,0)+1))))</f>
        <v/>
      </c>
      <c r="C162" s="166" t="str">
        <f>IF($B$54&lt;&gt;"Report complete","",IF(NOT(ISNUMBER(MATCH(Formulas!$O21,domestic,0))),"",INDEX(firmnames,MATCH(Formulas!$O21,domestic,0)+2)))</f>
        <v/>
      </c>
    </row>
    <row r="163" spans="1:3" x14ac:dyDescent="0.45">
      <c r="A163" s="221"/>
      <c r="B163" s="211" t="str">
        <f>IF($B$54&lt;&gt;"Report complete","",IF(NOT(ISNUMBER(MATCH(Formulas!$O22,domestic,0))),"",IF(INDEX(firmnames,MATCH(Formulas!$O22,domestic,0))&lt;&gt;"PROVIDER NOT LISTED",INDEX(firmnames,MATCH(Formulas!$O22,domestic,0)),INDEX(firmnames,MATCH(Formulas!$O22,domestic,0)+1))))</f>
        <v/>
      </c>
      <c r="C163" s="166" t="str">
        <f>IF($B$54&lt;&gt;"Report complete","",IF(NOT(ISNUMBER(MATCH(Formulas!$O22,domestic,0))),"",INDEX(firmnames,MATCH(Formulas!$O22,domestic,0)+2)))</f>
        <v/>
      </c>
    </row>
    <row r="164" spans="1:3" x14ac:dyDescent="0.45">
      <c r="A164" s="221"/>
      <c r="B164" s="211" t="str">
        <f>IF($B$54&lt;&gt;"Report complete","",IF(NOT(ISNUMBER(MATCH(Formulas!$O23,domestic,0))),"",IF(INDEX(firmnames,MATCH(Formulas!$O23,domestic,0))&lt;&gt;"PROVIDER NOT LISTED",INDEX(firmnames,MATCH(Formulas!$O23,domestic,0)),INDEX(firmnames,MATCH(Formulas!$O23,domestic,0)+1))))</f>
        <v/>
      </c>
      <c r="C164" s="166" t="str">
        <f>IF($B$54&lt;&gt;"Report complete","",IF(NOT(ISNUMBER(MATCH(Formulas!$O23,domestic,0))),"",INDEX(firmnames,MATCH(Formulas!$O23,domestic,0)+2)))</f>
        <v/>
      </c>
    </row>
    <row r="165" spans="1:3" x14ac:dyDescent="0.45">
      <c r="A165" s="221"/>
      <c r="B165" s="211" t="str">
        <f>IF($B$54&lt;&gt;"Report complete","",IF(NOT(ISNUMBER(MATCH(Formulas!$O24,domestic,0))),"",IF(INDEX(firmnames,MATCH(Formulas!$O24,domestic,0))&lt;&gt;"PROVIDER NOT LISTED",INDEX(firmnames,MATCH(Formulas!$O24,domestic,0)),INDEX(firmnames,MATCH(Formulas!$O24,domestic,0)+1))))</f>
        <v/>
      </c>
      <c r="C165" s="166" t="str">
        <f>IF($B$54&lt;&gt;"Report complete","",IF(NOT(ISNUMBER(MATCH(Formulas!$O24,domestic,0))),"",INDEX(firmnames,MATCH(Formulas!$O24,domestic,0)+2)))</f>
        <v/>
      </c>
    </row>
    <row r="166" spans="1:3" x14ac:dyDescent="0.45">
      <c r="A166" s="221"/>
      <c r="B166" s="211" t="str">
        <f>IF($B$54&lt;&gt;"Report complete","",IF(NOT(ISNUMBER(MATCH(Formulas!$O25,domestic,0))),"",IF(INDEX(firmnames,MATCH(Formulas!$O25,domestic,0))&lt;&gt;"PROVIDER NOT LISTED",INDEX(firmnames,MATCH(Formulas!$O25,domestic,0)),INDEX(firmnames,MATCH(Formulas!$O25,domestic,0)+1))))</f>
        <v/>
      </c>
      <c r="C166" s="166" t="str">
        <f>IF($B$54&lt;&gt;"Report complete","",IF(NOT(ISNUMBER(MATCH(Formulas!$O25,domestic,0))),"",INDEX(firmnames,MATCH(Formulas!$O25,domestic,0)+2)))</f>
        <v/>
      </c>
    </row>
    <row r="167" spans="1:3" x14ac:dyDescent="0.45">
      <c r="A167" s="221"/>
      <c r="B167" s="211" t="str">
        <f>IF($B$54&lt;&gt;"Report complete","",IF(NOT(ISNUMBER(MATCH(Formulas!$O26,domestic,0))),"",IF(INDEX(firmnames,MATCH(Formulas!$O26,domestic,0))&lt;&gt;"PROVIDER NOT LISTED",INDEX(firmnames,MATCH(Formulas!$O26,domestic,0)),INDEX(firmnames,MATCH(Formulas!$O26,domestic,0)+1))))</f>
        <v/>
      </c>
      <c r="C167" s="166" t="str">
        <f>IF($B$54&lt;&gt;"Report complete","",IF(NOT(ISNUMBER(MATCH(Formulas!$O26,domestic,0))),"",INDEX(firmnames,MATCH(Formulas!$O26,domestic,0)+2)))</f>
        <v/>
      </c>
    </row>
    <row r="168" spans="1:3" x14ac:dyDescent="0.45">
      <c r="A168" s="221"/>
      <c r="B168" s="211" t="str">
        <f>IF($B$54&lt;&gt;"Report complete","",IF(NOT(ISNUMBER(MATCH(Formulas!$O27,domestic,0))),"",IF(INDEX(firmnames,MATCH(Formulas!$O27,domestic,0))&lt;&gt;"PROVIDER NOT LISTED",INDEX(firmnames,MATCH(Formulas!$O27,domestic,0)),INDEX(firmnames,MATCH(Formulas!$O27,domestic,0)+1))))</f>
        <v/>
      </c>
      <c r="C168" s="166" t="str">
        <f>IF($B$54&lt;&gt;"Report complete","",IF(NOT(ISNUMBER(MATCH(Formulas!$O27,domestic,0))),"",INDEX(firmnames,MATCH(Formulas!$O27,domestic,0)+2)))</f>
        <v/>
      </c>
    </row>
    <row r="169" spans="1:3" x14ac:dyDescent="0.45">
      <c r="A169" s="221"/>
      <c r="B169" s="211" t="str">
        <f>IF($B$54&lt;&gt;"Report complete","",IF(NOT(ISNUMBER(MATCH(Formulas!$O28,domestic,0))),"",IF(INDEX(firmnames,MATCH(Formulas!$O28,domestic,0))&lt;&gt;"PROVIDER NOT LISTED",INDEX(firmnames,MATCH(Formulas!$O28,domestic,0)),INDEX(firmnames,MATCH(Formulas!$O28,domestic,0)+1))))</f>
        <v/>
      </c>
      <c r="C169" s="166" t="str">
        <f>IF($B$54&lt;&gt;"Report complete","",IF(NOT(ISNUMBER(MATCH(Formulas!$O28,domestic,0))),"",INDEX(firmnames,MATCH(Formulas!$O28,domestic,0)+2)))</f>
        <v/>
      </c>
    </row>
    <row r="170" spans="1:3" x14ac:dyDescent="0.45">
      <c r="A170" s="221"/>
      <c r="B170" s="211" t="str">
        <f>IF($B$54&lt;&gt;"Report complete","",IF(NOT(ISNUMBER(MATCH(Formulas!$O29,domestic,0))),"",IF(INDEX(firmnames,MATCH(Formulas!$O29,domestic,0))&lt;&gt;"PROVIDER NOT LISTED",INDEX(firmnames,MATCH(Formulas!$O29,domestic,0)),INDEX(firmnames,MATCH(Formulas!$O29,domestic,0)+1))))</f>
        <v/>
      </c>
      <c r="C170" s="166" t="str">
        <f>IF($B$54&lt;&gt;"Report complete","",IF(NOT(ISNUMBER(MATCH(Formulas!$O29,domestic,0))),"",INDEX(firmnames,MATCH(Formulas!$O29,domestic,0)+2)))</f>
        <v/>
      </c>
    </row>
    <row r="171" spans="1:3" x14ac:dyDescent="0.45">
      <c r="A171" s="221"/>
      <c r="B171" s="211" t="str">
        <f>IF($B$54&lt;&gt;"Report complete","",IF(NOT(ISNUMBER(MATCH(Formulas!$O30,domestic,0))),"",IF(INDEX(firmnames,MATCH(Formulas!$O30,domestic,0))&lt;&gt;"PROVIDER NOT LISTED",INDEX(firmnames,MATCH(Formulas!$O30,domestic,0)),INDEX(firmnames,MATCH(Formulas!$O30,domestic,0)+1))))</f>
        <v/>
      </c>
      <c r="C171" s="166" t="str">
        <f>IF($B$54&lt;&gt;"Report complete","",IF(NOT(ISNUMBER(MATCH(Formulas!$O30,domestic,0))),"",INDEX(firmnames,MATCH(Formulas!$O30,domestic,0)+2)))</f>
        <v/>
      </c>
    </row>
    <row r="172" spans="1:3" x14ac:dyDescent="0.45">
      <c r="A172" s="221"/>
      <c r="B172" s="211" t="str">
        <f>IF($B$54&lt;&gt;"Report complete","",IF(NOT(ISNUMBER(MATCH(Formulas!$O31,domestic,0))),"",IF(INDEX(firmnames,MATCH(Formulas!$O31,domestic,0))&lt;&gt;"PROVIDER NOT LISTED",INDEX(firmnames,MATCH(Formulas!$O31,domestic,0)),INDEX(firmnames,MATCH(Formulas!$O31,domestic,0)+1))))</f>
        <v/>
      </c>
      <c r="C172" s="166" t="str">
        <f>IF($B$54&lt;&gt;"Report complete","",IF(NOT(ISNUMBER(MATCH(Formulas!$O31,domestic,0))),"",INDEX(firmnames,MATCH(Formulas!$O31,domestic,0)+2)))</f>
        <v/>
      </c>
    </row>
    <row r="173" spans="1:3" x14ac:dyDescent="0.45">
      <c r="A173" s="221"/>
      <c r="B173" s="211" t="str">
        <f>IF($B$54&lt;&gt;"Report complete","",IF(NOT(ISNUMBER(MATCH(Formulas!$O32,domestic,0))),"",IF(INDEX(firmnames,MATCH(Formulas!$O32,domestic,0))&lt;&gt;"PROVIDER NOT LISTED",INDEX(firmnames,MATCH(Formulas!$O32,domestic,0)),INDEX(firmnames,MATCH(Formulas!$O32,domestic,0)+1))))</f>
        <v/>
      </c>
      <c r="C173" s="166" t="str">
        <f>IF($B$54&lt;&gt;"Report complete","",IF(NOT(ISNUMBER(MATCH(Formulas!$O32,domestic,0))),"",INDEX(firmnames,MATCH(Formulas!$O32,domestic,0)+2)))</f>
        <v/>
      </c>
    </row>
    <row r="174" spans="1:3" x14ac:dyDescent="0.45">
      <c r="A174" s="221"/>
      <c r="B174" s="211" t="str">
        <f>IF($B$54&lt;&gt;"Report complete","",IF(NOT(ISNUMBER(MATCH(Formulas!$O33,domestic,0))),"",IF(INDEX(firmnames,MATCH(Formulas!$O33,domestic,0))&lt;&gt;"PROVIDER NOT LISTED",INDEX(firmnames,MATCH(Formulas!$O33,domestic,0)),INDEX(firmnames,MATCH(Formulas!$O33,domestic,0)+1))))</f>
        <v/>
      </c>
      <c r="C174" s="166" t="str">
        <f>IF($B$54&lt;&gt;"Report complete","",IF(NOT(ISNUMBER(MATCH(Formulas!$O33,domestic,0))),"",INDEX(firmnames,MATCH(Formulas!$O33,domestic,0)+2)))</f>
        <v/>
      </c>
    </row>
    <row r="175" spans="1:3" x14ac:dyDescent="0.45">
      <c r="A175" s="221"/>
      <c r="B175" s="211" t="str">
        <f>IF($B$54&lt;&gt;"Report complete","",IF(NOT(ISNUMBER(MATCH(Formulas!$O34,domestic,0))),"",IF(INDEX(firmnames,MATCH(Formulas!$O34,domestic,0))&lt;&gt;"PROVIDER NOT LISTED",INDEX(firmnames,MATCH(Formulas!$O34,domestic,0)),INDEX(firmnames,MATCH(Formulas!$O34,domestic,0)+1))))</f>
        <v/>
      </c>
      <c r="C175" s="166" t="str">
        <f>IF($B$54&lt;&gt;"Report complete","",IF(NOT(ISNUMBER(MATCH(Formulas!$O34,domestic,0))),"",INDEX(firmnames,MATCH(Formulas!$O34,domestic,0)+2)))</f>
        <v/>
      </c>
    </row>
    <row r="176" spans="1:3" x14ac:dyDescent="0.45">
      <c r="A176" s="221"/>
      <c r="B176" s="211" t="str">
        <f>IF($B$54&lt;&gt;"Report complete","",IF(NOT(ISNUMBER(MATCH(Formulas!$O35,domestic,0))),"",IF(INDEX(firmnames,MATCH(Formulas!$O35,domestic,0))&lt;&gt;"PROVIDER NOT LISTED",INDEX(firmnames,MATCH(Formulas!$O35,domestic,0)),INDEX(firmnames,MATCH(Formulas!$O35,domestic,0)+1))))</f>
        <v/>
      </c>
      <c r="C176" s="166" t="str">
        <f>IF($B$54&lt;&gt;"Report complete","",IF(NOT(ISNUMBER(MATCH(Formulas!$O35,domestic,0))),"",INDEX(firmnames,MATCH(Formulas!$O35,domestic,0)+2)))</f>
        <v/>
      </c>
    </row>
    <row r="177" spans="1:3" x14ac:dyDescent="0.45">
      <c r="A177" s="221"/>
      <c r="B177" s="211" t="str">
        <f>IF($B$54&lt;&gt;"Report complete","",IF(NOT(ISNUMBER(MATCH(Formulas!$O36,domestic,0))),"",IF(INDEX(firmnames,MATCH(Formulas!$O36,domestic,0))&lt;&gt;"PROVIDER NOT LISTED",INDEX(firmnames,MATCH(Formulas!$O36,domestic,0)),INDEX(firmnames,MATCH(Formulas!$O36,domestic,0)+1))))</f>
        <v/>
      </c>
      <c r="C177" s="166" t="str">
        <f>IF($B$54&lt;&gt;"Report complete","",IF(NOT(ISNUMBER(MATCH(Formulas!$O36,domestic,0))),"",INDEX(firmnames,MATCH(Formulas!$O36,domestic,0)+2)))</f>
        <v/>
      </c>
    </row>
    <row r="178" spans="1:3" x14ac:dyDescent="0.45">
      <c r="A178" s="221"/>
      <c r="B178" s="211" t="str">
        <f>IF($B$54&lt;&gt;"Report complete","",IF(NOT(ISNUMBER(MATCH(Formulas!$O37,domestic,0))),"",IF(INDEX(firmnames,MATCH(Formulas!$O37,domestic,0))&lt;&gt;"PROVIDER NOT LISTED",INDEX(firmnames,MATCH(Formulas!$O37,domestic,0)),INDEX(firmnames,MATCH(Formulas!$O37,domestic,0)+1))))</f>
        <v/>
      </c>
      <c r="C178" s="166" t="str">
        <f>IF($B$54&lt;&gt;"Report complete","",IF(NOT(ISNUMBER(MATCH(Formulas!$O37,domestic,0))),"",INDEX(firmnames,MATCH(Formulas!$O37,domestic,0)+2)))</f>
        <v/>
      </c>
    </row>
    <row r="179" spans="1:3" x14ac:dyDescent="0.45">
      <c r="A179" s="221"/>
      <c r="B179" s="211" t="str">
        <f>IF($B$54&lt;&gt;"Report complete","",IF(NOT(ISNUMBER(MATCH(Formulas!$O38,domestic,0))),"",IF(INDEX(firmnames,MATCH(Formulas!$O38,domestic,0))&lt;&gt;"PROVIDER NOT LISTED",INDEX(firmnames,MATCH(Formulas!$O38,domestic,0)),INDEX(firmnames,MATCH(Formulas!$O38,domestic,0)+1))))</f>
        <v/>
      </c>
      <c r="C179" s="166" t="str">
        <f>IF($B$54&lt;&gt;"Report complete","",IF(NOT(ISNUMBER(MATCH(Formulas!$O38,domestic,0))),"",INDEX(firmnames,MATCH(Formulas!$O38,domestic,0)+2)))</f>
        <v/>
      </c>
    </row>
    <row r="180" spans="1:3" x14ac:dyDescent="0.45">
      <c r="A180" s="221"/>
      <c r="B180" s="211" t="str">
        <f>IF($B$54&lt;&gt;"Report complete","",IF(NOT(ISNUMBER(MATCH(Formulas!$O39,domestic,0))),"",IF(INDEX(firmnames,MATCH(Formulas!$O39,domestic,0))&lt;&gt;"PROVIDER NOT LISTED",INDEX(firmnames,MATCH(Formulas!$O39,domestic,0)),INDEX(firmnames,MATCH(Formulas!$O39,domestic,0)+1))))</f>
        <v/>
      </c>
      <c r="C180" s="166" t="str">
        <f>IF($B$54&lt;&gt;"Report complete","",IF(NOT(ISNUMBER(MATCH(Formulas!$O39,domestic,0))),"",INDEX(firmnames,MATCH(Formulas!$O39,domestic,0)+2)))</f>
        <v/>
      </c>
    </row>
    <row r="181" spans="1:3" x14ac:dyDescent="0.45">
      <c r="A181" s="221"/>
      <c r="B181" s="211" t="str">
        <f>IF($B$54&lt;&gt;"Report complete","",IF(NOT(ISNUMBER(MATCH(Formulas!$O40,domestic,0))),"",IF(INDEX(firmnames,MATCH(Formulas!$O40,domestic,0))&lt;&gt;"PROVIDER NOT LISTED",INDEX(firmnames,MATCH(Formulas!$O40,domestic,0)),INDEX(firmnames,MATCH(Formulas!$O40,domestic,0)+1))))</f>
        <v/>
      </c>
      <c r="C181" s="166" t="str">
        <f>IF($B$54&lt;&gt;"Report complete","",IF(NOT(ISNUMBER(MATCH(Formulas!$O40,domestic,0))),"",INDEX(firmnames,MATCH(Formulas!$O40,domestic,0)+2)))</f>
        <v/>
      </c>
    </row>
    <row r="182" spans="1:3" x14ac:dyDescent="0.45">
      <c r="A182" s="221"/>
      <c r="B182" s="211" t="str">
        <f>IF($B$54&lt;&gt;"Report complete","",IF(NOT(ISNUMBER(MATCH(Formulas!$O41,domestic,0))),"",IF(INDEX(firmnames,MATCH(Formulas!$O41,domestic,0))&lt;&gt;"PROVIDER NOT LISTED",INDEX(firmnames,MATCH(Formulas!$O41,domestic,0)),INDEX(firmnames,MATCH(Formulas!$O41,domestic,0)+1))))</f>
        <v/>
      </c>
      <c r="C182" s="166" t="str">
        <f>IF($B$54&lt;&gt;"Report complete","",IF(NOT(ISNUMBER(MATCH(Formulas!$O41,domestic,0))),"",INDEX(firmnames,MATCH(Formulas!$O41,domestic,0)+2)))</f>
        <v/>
      </c>
    </row>
    <row r="183" spans="1:3" x14ac:dyDescent="0.45">
      <c r="A183" s="221"/>
      <c r="B183" s="211" t="str">
        <f>IF($B$54&lt;&gt;"Report complete","",IF(NOT(ISNUMBER(MATCH(Formulas!$O42,domestic,0))),"",IF(INDEX(firmnames,MATCH(Formulas!$O42,domestic,0))&lt;&gt;"PROVIDER NOT LISTED",INDEX(firmnames,MATCH(Formulas!$O42,domestic,0)),INDEX(firmnames,MATCH(Formulas!$O42,domestic,0)+1))))</f>
        <v/>
      </c>
      <c r="C183" s="166" t="str">
        <f>IF($B$54&lt;&gt;"Report complete","",IF(NOT(ISNUMBER(MATCH(Formulas!$O42,domestic,0))),"",INDEX(firmnames,MATCH(Formulas!$O42,domestic,0)+2)))</f>
        <v/>
      </c>
    </row>
    <row r="184" spans="1:3" x14ac:dyDescent="0.45">
      <c r="A184" s="221"/>
      <c r="B184" s="211" t="str">
        <f>IF($B$54&lt;&gt;"Report complete","",IF(NOT(ISNUMBER(MATCH(Formulas!$O43,domestic,0))),"",IF(INDEX(firmnames,MATCH(Formulas!$O43,domestic,0))&lt;&gt;"PROVIDER NOT LISTED",INDEX(firmnames,MATCH(Formulas!$O43,domestic,0)),INDEX(firmnames,MATCH(Formulas!$O43,domestic,0)+1))))</f>
        <v/>
      </c>
      <c r="C184" s="166" t="str">
        <f>IF($B$54&lt;&gt;"Report complete","",IF(NOT(ISNUMBER(MATCH(Formulas!$O43,domestic,0))),"",INDEX(firmnames,MATCH(Formulas!$O43,domestic,0)+2)))</f>
        <v/>
      </c>
    </row>
    <row r="185" spans="1:3" x14ac:dyDescent="0.45">
      <c r="A185" s="221"/>
      <c r="B185" s="211" t="str">
        <f>IF($B$54&lt;&gt;"Report complete","",IF(NOT(ISNUMBER(MATCH(Formulas!$O44,domestic,0))),"",IF(INDEX(firmnames,MATCH(Formulas!$O44,domestic,0))&lt;&gt;"PROVIDER NOT LISTED",INDEX(firmnames,MATCH(Formulas!$O44,domestic,0)),INDEX(firmnames,MATCH(Formulas!$O44,domestic,0)+1))))</f>
        <v/>
      </c>
      <c r="C185" s="166" t="str">
        <f>IF($B$54&lt;&gt;"Report complete","",IF(NOT(ISNUMBER(MATCH(Formulas!$O44,domestic,0))),"",INDEX(firmnames,MATCH(Formulas!$O44,domestic,0)+2)))</f>
        <v/>
      </c>
    </row>
    <row r="186" spans="1:3" x14ac:dyDescent="0.45">
      <c r="A186" s="221"/>
      <c r="B186" s="211" t="str">
        <f>IF($B$54&lt;&gt;"Report complete","",IF(NOT(ISNUMBER(MATCH(Formulas!$O45,domestic,0))),"",IF(INDEX(firmnames,MATCH(Formulas!$O45,domestic,0))&lt;&gt;"PROVIDER NOT LISTED",INDEX(firmnames,MATCH(Formulas!$O45,domestic,0)),INDEX(firmnames,MATCH(Formulas!$O45,domestic,0)+1))))</f>
        <v/>
      </c>
      <c r="C186" s="166" t="str">
        <f>IF($B$54&lt;&gt;"Report complete","",IF(NOT(ISNUMBER(MATCH(Formulas!$O45,domestic,0))),"",INDEX(firmnames,MATCH(Formulas!$O45,domestic,0)+2)))</f>
        <v/>
      </c>
    </row>
    <row r="187" spans="1:3" x14ac:dyDescent="0.45">
      <c r="A187" s="221"/>
      <c r="B187" s="211" t="str">
        <f>IF($B$54&lt;&gt;"Report complete","",IF(NOT(ISNUMBER(MATCH(Formulas!$O46,domestic,0))),"",IF(INDEX(firmnames,MATCH(Formulas!$O46,domestic,0))&lt;&gt;"PROVIDER NOT LISTED",INDEX(firmnames,MATCH(Formulas!$O46,domestic,0)),INDEX(firmnames,MATCH(Formulas!$O46,domestic,0)+1))))</f>
        <v/>
      </c>
      <c r="C187" s="166" t="str">
        <f>IF($B$54&lt;&gt;"Report complete","",IF(NOT(ISNUMBER(MATCH(Formulas!$O46,domestic,0))),"",INDEX(firmnames,MATCH(Formulas!$O46,domestic,0)+2)))</f>
        <v/>
      </c>
    </row>
    <row r="188" spans="1:3" x14ac:dyDescent="0.45">
      <c r="A188" s="221"/>
      <c r="B188" s="211" t="str">
        <f>IF($B$54&lt;&gt;"Report complete","",IF(NOT(ISNUMBER(MATCH(Formulas!$O47,domestic,0))),"",IF(INDEX(firmnames,MATCH(Formulas!$O47,domestic,0))&lt;&gt;"PROVIDER NOT LISTED",INDEX(firmnames,MATCH(Formulas!$O47,domestic,0)),INDEX(firmnames,MATCH(Formulas!$O47,domestic,0)+1))))</f>
        <v/>
      </c>
      <c r="C188" s="166" t="str">
        <f>IF($B$54&lt;&gt;"Report complete","",IF(NOT(ISNUMBER(MATCH(Formulas!$O47,domestic,0))),"",INDEX(firmnames,MATCH(Formulas!$O47,domestic,0)+2)))</f>
        <v/>
      </c>
    </row>
    <row r="189" spans="1:3" x14ac:dyDescent="0.45">
      <c r="A189" s="221"/>
      <c r="B189" s="209" t="str">
        <f>IF($B$54&lt;&gt;"Report complete","",IF(NOT(ISNUMBER(MATCH(Formulas!$O48,domestic,0))),"",IF(INDEX(firmnames,MATCH(Formulas!$O48,domestic,0))&lt;&gt;"PROVIDER NOT LISTED",INDEX(firmnames,MATCH(Formulas!$O48,domestic,0)),INDEX(firmnames,MATCH(Formulas!$O48,domestic,0)+1))))</f>
        <v/>
      </c>
      <c r="C189" s="166" t="str">
        <f>IF($B$54&lt;&gt;"Report complete","",IF(NOT(ISNUMBER(MATCH(Formulas!$O48,domestic,0))),"",INDEX(firmnames,MATCH(Formulas!$O48,domestic,0)+2)))</f>
        <v/>
      </c>
    </row>
    <row r="190" spans="1:3" ht="25" thickBot="1" x14ac:dyDescent="0.5">
      <c r="A190" s="225"/>
      <c r="B190" s="171"/>
      <c r="C190" s="172"/>
    </row>
  </sheetData>
  <sheetProtection algorithmName="SHA-256" hashValue="ag+XlZyvoG0ImHXHsA9LmQnuNy3Zy5C8nsWdHeho5KQ=" saltValue="DaU0PiogO9VkaJvKtwBpSA==" spinCount="100000" sheet="1" objects="1" scenarios="1"/>
  <conditionalFormatting sqref="A143:C143">
    <cfRule type="expression" dxfId="66" priority="78">
      <formula>$B143=""</formula>
    </cfRule>
  </conditionalFormatting>
  <conditionalFormatting sqref="A144:C144">
    <cfRule type="expression" dxfId="65" priority="77">
      <formula>$B144=""</formula>
    </cfRule>
  </conditionalFormatting>
  <conditionalFormatting sqref="A145:C145">
    <cfRule type="expression" dxfId="64" priority="76">
      <formula>$B145=""</formula>
    </cfRule>
  </conditionalFormatting>
  <conditionalFormatting sqref="A146:C146">
    <cfRule type="expression" dxfId="63" priority="75">
      <formula>$B146=""</formula>
    </cfRule>
  </conditionalFormatting>
  <conditionalFormatting sqref="A147:C147">
    <cfRule type="expression" dxfId="62" priority="74">
      <formula>$B147=""</formula>
    </cfRule>
  </conditionalFormatting>
  <conditionalFormatting sqref="A148:C148">
    <cfRule type="expression" dxfId="61" priority="73">
      <formula>$B148=""</formula>
    </cfRule>
  </conditionalFormatting>
  <conditionalFormatting sqref="A149:C149">
    <cfRule type="expression" dxfId="60" priority="72">
      <formula>$B149=""</formula>
    </cfRule>
  </conditionalFormatting>
  <conditionalFormatting sqref="A150:C150">
    <cfRule type="expression" dxfId="59" priority="71">
      <formula>$B150=""</formula>
    </cfRule>
  </conditionalFormatting>
  <conditionalFormatting sqref="A151:C151">
    <cfRule type="expression" dxfId="58" priority="70">
      <formula>$B151=""</formula>
    </cfRule>
  </conditionalFormatting>
  <conditionalFormatting sqref="A152:C152">
    <cfRule type="expression" dxfId="57" priority="69">
      <formula>$B152=""</formula>
    </cfRule>
  </conditionalFormatting>
  <conditionalFormatting sqref="A153:C153">
    <cfRule type="expression" dxfId="56" priority="68">
      <formula>$B153=""</formula>
    </cfRule>
  </conditionalFormatting>
  <conditionalFormatting sqref="A154:C154">
    <cfRule type="expression" dxfId="55" priority="67">
      <formula>$B154=""</formula>
    </cfRule>
  </conditionalFormatting>
  <conditionalFormatting sqref="A155:C155">
    <cfRule type="expression" dxfId="54" priority="66">
      <formula>$B155=""</formula>
    </cfRule>
  </conditionalFormatting>
  <conditionalFormatting sqref="A156:C156">
    <cfRule type="expression" dxfId="53" priority="65">
      <formula>$B156=""</formula>
    </cfRule>
  </conditionalFormatting>
  <conditionalFormatting sqref="A157:C157">
    <cfRule type="expression" dxfId="52" priority="64">
      <formula>$B157=""</formula>
    </cfRule>
  </conditionalFormatting>
  <conditionalFormatting sqref="A158:C158">
    <cfRule type="expression" dxfId="51" priority="63">
      <formula>$B158=""</formula>
    </cfRule>
  </conditionalFormatting>
  <conditionalFormatting sqref="A159:C159">
    <cfRule type="expression" dxfId="50" priority="62">
      <formula>$B159=""</formula>
    </cfRule>
  </conditionalFormatting>
  <conditionalFormatting sqref="A160:C160">
    <cfRule type="expression" dxfId="49" priority="61">
      <formula>$B160=""</formula>
    </cfRule>
  </conditionalFormatting>
  <conditionalFormatting sqref="A161:C161">
    <cfRule type="expression" dxfId="48" priority="60">
      <formula>$B161=""</formula>
    </cfRule>
  </conditionalFormatting>
  <conditionalFormatting sqref="A162:C162">
    <cfRule type="expression" dxfId="47" priority="59">
      <formula>$B162=""</formula>
    </cfRule>
  </conditionalFormatting>
  <conditionalFormatting sqref="A163:C163">
    <cfRule type="expression" dxfId="46" priority="58">
      <formula>$B163=""</formula>
    </cfRule>
  </conditionalFormatting>
  <conditionalFormatting sqref="A164:C164">
    <cfRule type="expression" dxfId="45" priority="57">
      <formula>$B164=""</formula>
    </cfRule>
  </conditionalFormatting>
  <conditionalFormatting sqref="A165:C165">
    <cfRule type="expression" dxfId="44" priority="56">
      <formula>$B165=""</formula>
    </cfRule>
  </conditionalFormatting>
  <conditionalFormatting sqref="A166:C166">
    <cfRule type="expression" dxfId="43" priority="55">
      <formula>$B166=""</formula>
    </cfRule>
  </conditionalFormatting>
  <conditionalFormatting sqref="A167:C167">
    <cfRule type="expression" dxfId="42" priority="54">
      <formula>$B167=""</formula>
    </cfRule>
  </conditionalFormatting>
  <conditionalFormatting sqref="A168:C168">
    <cfRule type="expression" dxfId="41" priority="53">
      <formula>$B168=""</formula>
    </cfRule>
  </conditionalFormatting>
  <conditionalFormatting sqref="A169:C169">
    <cfRule type="expression" dxfId="40" priority="52">
      <formula>$B169=""</formula>
    </cfRule>
  </conditionalFormatting>
  <conditionalFormatting sqref="A170:C170">
    <cfRule type="expression" dxfId="39" priority="51">
      <formula>$B170=""</formula>
    </cfRule>
  </conditionalFormatting>
  <conditionalFormatting sqref="A171:C171">
    <cfRule type="expression" dxfId="38" priority="50">
      <formula>$B171=""</formula>
    </cfRule>
  </conditionalFormatting>
  <conditionalFormatting sqref="A172:C172">
    <cfRule type="expression" dxfId="37" priority="49">
      <formula>$B172=""</formula>
    </cfRule>
  </conditionalFormatting>
  <conditionalFormatting sqref="A173:C173">
    <cfRule type="expression" dxfId="36" priority="48">
      <formula>$B173=""</formula>
    </cfRule>
  </conditionalFormatting>
  <conditionalFormatting sqref="A174:C174">
    <cfRule type="expression" dxfId="35" priority="47">
      <formula>$B174=""</formula>
    </cfRule>
  </conditionalFormatting>
  <conditionalFormatting sqref="A175:C175">
    <cfRule type="expression" dxfId="34" priority="46">
      <formula>$B175=""</formula>
    </cfRule>
  </conditionalFormatting>
  <conditionalFormatting sqref="A176:C176">
    <cfRule type="expression" dxfId="33" priority="45">
      <formula>$B176=""</formula>
    </cfRule>
  </conditionalFormatting>
  <conditionalFormatting sqref="A177:C177">
    <cfRule type="expression" dxfId="32" priority="44">
      <formula>$B177=""</formula>
    </cfRule>
  </conditionalFormatting>
  <conditionalFormatting sqref="A178:C178">
    <cfRule type="expression" dxfId="31" priority="43">
      <formula>$B178=""</formula>
    </cfRule>
  </conditionalFormatting>
  <conditionalFormatting sqref="A179:C179">
    <cfRule type="expression" dxfId="30" priority="42">
      <formula>$B179=""</formula>
    </cfRule>
  </conditionalFormatting>
  <conditionalFormatting sqref="A180:C180">
    <cfRule type="expression" dxfId="29" priority="41">
      <formula>$B180=""</formula>
    </cfRule>
  </conditionalFormatting>
  <conditionalFormatting sqref="A181:C181">
    <cfRule type="expression" dxfId="28" priority="40">
      <formula>$B181=""</formula>
    </cfRule>
  </conditionalFormatting>
  <conditionalFormatting sqref="A182:C182">
    <cfRule type="expression" dxfId="27" priority="39">
      <formula>$B182=""</formula>
    </cfRule>
  </conditionalFormatting>
  <conditionalFormatting sqref="A183:C183">
    <cfRule type="expression" dxfId="26" priority="38">
      <formula>$B183=""</formula>
    </cfRule>
  </conditionalFormatting>
  <conditionalFormatting sqref="A184:C184">
    <cfRule type="expression" dxfId="25" priority="37">
      <formula>$B184=""</formula>
    </cfRule>
  </conditionalFormatting>
  <conditionalFormatting sqref="A185:C185">
    <cfRule type="expression" dxfId="24" priority="36">
      <formula>$B185=""</formula>
    </cfRule>
  </conditionalFormatting>
  <conditionalFormatting sqref="A186:C186">
    <cfRule type="expression" dxfId="23" priority="35">
      <formula>$B186=""</formula>
    </cfRule>
  </conditionalFormatting>
  <conditionalFormatting sqref="A187:C187">
    <cfRule type="expression" dxfId="22" priority="34">
      <formula>$B187=""</formula>
    </cfRule>
  </conditionalFormatting>
  <conditionalFormatting sqref="A188:C188">
    <cfRule type="expression" dxfId="21" priority="33">
      <formula>$B188=""</formula>
    </cfRule>
  </conditionalFormatting>
  <conditionalFormatting sqref="A189:C189">
    <cfRule type="expression" dxfId="20" priority="32">
      <formula>$B189=""</formula>
    </cfRule>
  </conditionalFormatting>
  <conditionalFormatting sqref="A32:C46">
    <cfRule type="expression" dxfId="19" priority="17">
      <formula>$B$30&lt;&gt;"Proceed to commentary"</formula>
    </cfRule>
  </conditionalFormatting>
  <conditionalFormatting sqref="A50:C52">
    <cfRule type="expression" dxfId="18" priority="16">
      <formula>$B$48&lt;&gt;"Proceed to final confirmation"</formula>
    </cfRule>
  </conditionalFormatting>
  <conditionalFormatting sqref="A56:C190">
    <cfRule type="expression" dxfId="17" priority="15">
      <formula>$B$54&lt;&gt;"Report complete"</formula>
    </cfRule>
  </conditionalFormatting>
  <conditionalFormatting sqref="A31:C31">
    <cfRule type="expression" dxfId="16" priority="13">
      <formula>$B30&lt;&gt;"Proceed to commentary"</formula>
    </cfRule>
  </conditionalFormatting>
  <conditionalFormatting sqref="A47:C47">
    <cfRule type="expression" dxfId="15" priority="11">
      <formula>$B30&lt;&gt;"Proceed to commentary"</formula>
    </cfRule>
  </conditionalFormatting>
  <conditionalFormatting sqref="A49:C49">
    <cfRule type="expression" dxfId="14" priority="10">
      <formula>$B48&lt;&gt;"Proceed to final confirmation"</formula>
    </cfRule>
  </conditionalFormatting>
  <conditionalFormatting sqref="A53:C53">
    <cfRule type="expression" dxfId="13" priority="9">
      <formula>$B48&lt;&gt;"Proceed to final confirmation"</formula>
    </cfRule>
  </conditionalFormatting>
  <conditionalFormatting sqref="A55:C55">
    <cfRule type="expression" dxfId="12" priority="8">
      <formula>$B54&lt;&gt;"Report complete"</formula>
    </cfRule>
  </conditionalFormatting>
  <conditionalFormatting sqref="A1:A190">
    <cfRule type="expression" dxfId="11" priority="1">
      <formula>$B$1="Legal Services Expenditure Report 2020-21"</formula>
    </cfRule>
  </conditionalFormatting>
  <dataValidations count="1">
    <dataValidation type="list" allowBlank="1" showInputMessage="1" showErrorMessage="1" sqref="C47 C29 C53" xr:uid="{00000000-0002-0000-0100-000000000000}">
      <formula1>INDIRECT(E29)</formula1>
    </dataValidation>
  </dataValidations>
  <pageMargins left="0.7" right="0.7" top="0.75" bottom="0.75" header="0.3" footer="0.3"/>
  <pageSetup paperSize="9" scale="78" fitToHeight="0" orientation="landscape" r:id="rId1"/>
  <rowBreaks count="8" manualBreakCount="8">
    <brk id="14" max="2" man="1"/>
    <brk id="30" max="2" man="1"/>
    <brk id="48" max="2" man="1"/>
    <brk id="54" max="2" man="1"/>
    <brk id="72" max="2" man="1"/>
    <brk id="95" max="2" man="1"/>
    <brk id="117" max="2" man="1"/>
    <brk id="140" max="2" man="1"/>
  </rowBreaks>
  <colBreaks count="1" manualBreakCount="1">
    <brk id="1" max="198" man="1"/>
  </colBreaks>
  <ignoredErrors>
    <ignoredError sqref="B139 B20" formula="1"/>
  </ignoredErrors>
  <extLst>
    <ext xmlns:x14="http://schemas.microsoft.com/office/spreadsheetml/2009/9/main" uri="{78C0D931-6437-407d-A8EE-F0AAD7539E65}">
      <x14:conditionalFormattings>
        <x14:conditionalFormatting xmlns:xm="http://schemas.microsoft.com/office/excel/2006/main">
          <x14:cfRule type="expression" priority="18" id="{A4F40025-DB41-418D-9DD5-7CE18C4FF9DA}">
            <xm:f>'Entry Form'!$B$407&lt;&gt;"Entry form complete"</xm:f>
            <x14:dxf>
              <font>
                <color theme="0" tint="-0.24994659260841701"/>
              </font>
              <fill>
                <patternFill patternType="solid">
                  <fgColor theme="0"/>
                  <bgColor theme="0" tint="-0.24994659260841701"/>
                </patternFill>
              </fill>
              <border>
                <left/>
                <top/>
                <bottom/>
              </border>
            </x14:dxf>
          </x14:cfRule>
          <xm:sqref>A5:C28</xm:sqref>
        </x14:conditionalFormatting>
        <x14:conditionalFormatting xmlns:xm="http://schemas.microsoft.com/office/excel/2006/main">
          <x14:cfRule type="expression" priority="14" id="{0482D69A-03EC-409C-A386-42658D4AD4FE}">
            <xm:f>'Entry Form'!$B$407&lt;&gt;"Entry form complete"</xm:f>
            <x14:dxf>
              <font>
                <color theme="0"/>
              </font>
              <fill>
                <patternFill>
                  <bgColor theme="0" tint="-0.24994659260841701"/>
                </patternFill>
              </fill>
            </x14:dxf>
          </x14:cfRule>
          <xm:sqref>A1:C1</xm:sqref>
        </x14:conditionalFormatting>
        <x14:conditionalFormatting xmlns:xm="http://schemas.microsoft.com/office/excel/2006/main">
          <x14:cfRule type="expression" priority="12" id="{DB90C01A-2C94-4E38-8C05-E47F64BFDFDC}">
            <xm:f>'Entry Form'!$B$407&lt;&gt;"Entry form complete"</xm:f>
            <x14:dxf>
              <font>
                <color theme="0" tint="-0.24994659260841701"/>
              </font>
              <fill>
                <patternFill>
                  <fgColor theme="0" tint="-0.24994659260841701"/>
                  <bgColor theme="0" tint="-0.24994659260841701"/>
                </patternFill>
              </fill>
              <border>
                <left/>
                <top/>
                <vertical/>
                <horizontal/>
              </border>
            </x14:dxf>
          </x14:cfRule>
          <xm:sqref>A29:C29</xm:sqref>
        </x14:conditionalFormatting>
        <x14:conditionalFormatting xmlns:xm="http://schemas.microsoft.com/office/excel/2006/main">
          <x14:cfRule type="expression" priority="7" id="{47E30CD6-CA93-455C-82A7-D22BC75C26E7}">
            <xm:f>'Entry Form'!$B$407&lt;&gt;"Entry form complete"</xm:f>
            <x14:dxf>
              <font>
                <color theme="0" tint="-0.24994659260841701"/>
              </font>
              <fill>
                <patternFill patternType="solid">
                  <fgColor theme="0"/>
                  <bgColor theme="0" tint="-0.24994659260841701"/>
                </patternFill>
              </fill>
              <border>
                <left/>
                <right/>
                <top/>
                <bottom/>
              </border>
            </x14:dxf>
          </x14:cfRule>
          <xm:sqref>A42:B43</xm:sqref>
        </x14:conditionalFormatting>
        <x14:conditionalFormatting xmlns:xm="http://schemas.microsoft.com/office/excel/2006/main">
          <x14:cfRule type="expression" priority="5" id="{17C8EBB4-53A2-4B16-AE33-47EE554D8810}">
            <xm:f>'Entry Form'!$B$407&lt;&gt;"Entry Form Complete"</xm:f>
            <x14:dxf>
              <font>
                <color theme="0" tint="-0.24994659260841701"/>
              </font>
              <fill>
                <patternFill>
                  <bgColor theme="0" tint="-0.24994659260841701"/>
                </patternFill>
              </fill>
            </x14:dxf>
          </x14:cfRule>
          <xm:sqref>A2:C2</xm:sqref>
        </x14:conditionalFormatting>
        <x14:conditionalFormatting xmlns:xm="http://schemas.microsoft.com/office/excel/2006/main">
          <x14:cfRule type="expression" priority="4" id="{CDC3EE9E-8D69-462E-A119-44DD5AEE5DBF}">
            <xm:f>'Entry Form'!$B$407&lt;&gt;"Entry Form Complete"</xm:f>
            <x14:dxf>
              <font>
                <color theme="0" tint="-0.24994659260841701"/>
              </font>
              <fill>
                <patternFill>
                  <bgColor theme="0" tint="-0.24994659260841701"/>
                </patternFill>
              </fill>
            </x14:dxf>
          </x14:cfRule>
          <xm:sqref>A3 C3</xm:sqref>
        </x14:conditionalFormatting>
        <x14:conditionalFormatting xmlns:xm="http://schemas.microsoft.com/office/excel/2006/main">
          <x14:cfRule type="expression" priority="2" id="{C9DCAD8A-CA4B-4B00-AD07-EC50C73C455E}">
            <xm:f>'Entry Form'!$B$407&lt;&gt;"Entry Form Complete"</xm:f>
            <x14:dxf>
              <font>
                <color theme="0" tint="-0.24994659260841701"/>
              </font>
              <fill>
                <patternFill>
                  <bgColor theme="0" tint="-0.24994659260841701"/>
                </patternFill>
              </fill>
            </x14:dxf>
          </x14:cfRule>
          <xm:sqref>A4:C4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201"/>
  <sheetViews>
    <sheetView zoomScaleNormal="100" workbookViewId="0">
      <selection activeCell="J126" sqref="J126"/>
    </sheetView>
  </sheetViews>
  <sheetFormatPr defaultRowHeight="14.5" x14ac:dyDescent="0.35"/>
  <cols>
    <col min="1" max="1" width="9.1796875" customWidth="1"/>
    <col min="2" max="2" width="69.81640625" customWidth="1"/>
    <col min="3" max="3" width="29.7265625" customWidth="1"/>
    <col min="4" max="4" width="17.453125" customWidth="1"/>
    <col min="5" max="5" width="19.453125" customWidth="1"/>
    <col min="6" max="6" width="14.26953125" customWidth="1"/>
    <col min="7" max="7" width="14" customWidth="1"/>
    <col min="8" max="8" width="14.7265625" customWidth="1"/>
    <col min="9" max="9" width="12.81640625" customWidth="1"/>
    <col min="14" max="14" width="34.81640625" customWidth="1"/>
    <col min="15" max="15" width="32.453125" customWidth="1"/>
    <col min="18" max="18" width="15.7265625" customWidth="1"/>
  </cols>
  <sheetData>
    <row r="1" spans="2:18" ht="15" thickBot="1" x14ac:dyDescent="0.4">
      <c r="B1" s="104" t="s">
        <v>139</v>
      </c>
      <c r="C1" s="104" t="s">
        <v>140</v>
      </c>
      <c r="D1" s="104" t="s">
        <v>553</v>
      </c>
      <c r="E1" s="104" t="s">
        <v>554</v>
      </c>
      <c r="F1" s="104" t="s">
        <v>487</v>
      </c>
      <c r="G1" s="104" t="s">
        <v>489</v>
      </c>
      <c r="H1" s="104" t="s">
        <v>488</v>
      </c>
      <c r="I1" s="104" t="s">
        <v>592</v>
      </c>
      <c r="N1" t="s">
        <v>199</v>
      </c>
      <c r="P1" t="s">
        <v>606</v>
      </c>
      <c r="Q1" t="s">
        <v>605</v>
      </c>
      <c r="R1" t="s">
        <v>607</v>
      </c>
    </row>
    <row r="2" spans="2:18" x14ac:dyDescent="0.35">
      <c r="B2" s="247" t="s">
        <v>659</v>
      </c>
      <c r="C2" s="248" t="s">
        <v>557</v>
      </c>
      <c r="D2" s="248" t="s">
        <v>557</v>
      </c>
      <c r="E2" s="248" t="s">
        <v>557</v>
      </c>
      <c r="F2" s="248">
        <v>0</v>
      </c>
      <c r="G2" s="248">
        <v>0</v>
      </c>
      <c r="H2" s="248">
        <v>0</v>
      </c>
      <c r="I2" s="251">
        <v>0</v>
      </c>
      <c r="K2" t="s">
        <v>141</v>
      </c>
      <c r="L2" t="s">
        <v>555</v>
      </c>
      <c r="N2" s="244" t="s">
        <v>200</v>
      </c>
      <c r="O2" s="254" t="s">
        <v>492</v>
      </c>
      <c r="P2" s="247" t="s">
        <v>555</v>
      </c>
      <c r="Q2" s="244" t="s">
        <v>141</v>
      </c>
      <c r="R2" s="244" t="s">
        <v>608</v>
      </c>
    </row>
    <row r="3" spans="2:18" ht="15" thickBot="1" x14ac:dyDescent="0.4">
      <c r="B3" s="92" t="s">
        <v>201</v>
      </c>
      <c r="C3" s="249" t="s">
        <v>202</v>
      </c>
      <c r="D3" s="249" t="s">
        <v>551</v>
      </c>
      <c r="E3" s="249" t="s">
        <v>141</v>
      </c>
      <c r="F3" s="249">
        <v>5510516</v>
      </c>
      <c r="G3" s="249">
        <v>5056803</v>
      </c>
      <c r="H3" s="249">
        <v>453713</v>
      </c>
      <c r="I3" s="252">
        <v>513.29946578299996</v>
      </c>
      <c r="K3" t="s">
        <v>142</v>
      </c>
      <c r="N3" s="245" t="s">
        <v>662</v>
      </c>
      <c r="O3" s="255" t="s">
        <v>493</v>
      </c>
      <c r="P3" s="93"/>
      <c r="Q3" s="245" t="s">
        <v>142</v>
      </c>
      <c r="R3" s="245" t="s">
        <v>609</v>
      </c>
    </row>
    <row r="4" spans="2:18" ht="15" thickBot="1" x14ac:dyDescent="0.4">
      <c r="B4" s="92" t="s">
        <v>203</v>
      </c>
      <c r="C4" s="249" t="s">
        <v>204</v>
      </c>
      <c r="D4" s="249" t="s">
        <v>551</v>
      </c>
      <c r="E4" s="249" t="s">
        <v>141</v>
      </c>
      <c r="F4" s="249">
        <v>2735785</v>
      </c>
      <c r="G4" s="249">
        <v>1769012</v>
      </c>
      <c r="H4" s="249">
        <v>966773</v>
      </c>
      <c r="I4" s="252">
        <v>2995.5326774893001</v>
      </c>
      <c r="N4" s="245" t="s">
        <v>663</v>
      </c>
      <c r="O4" s="255" t="s">
        <v>494</v>
      </c>
      <c r="Q4" s="246"/>
      <c r="R4" s="246"/>
    </row>
    <row r="5" spans="2:18" x14ac:dyDescent="0.35">
      <c r="B5" s="92" t="s">
        <v>205</v>
      </c>
      <c r="C5" s="249" t="s">
        <v>206</v>
      </c>
      <c r="D5" s="249" t="s">
        <v>552</v>
      </c>
      <c r="E5" s="249" t="s">
        <v>142</v>
      </c>
      <c r="F5" s="249">
        <v>6273953</v>
      </c>
      <c r="G5" s="249">
        <v>1600837</v>
      </c>
      <c r="H5" s="249">
        <v>4673116</v>
      </c>
      <c r="I5" s="252">
        <v>0</v>
      </c>
      <c r="N5" s="245" t="s">
        <v>754</v>
      </c>
      <c r="O5" s="255" t="s">
        <v>495</v>
      </c>
    </row>
    <row r="6" spans="2:18" x14ac:dyDescent="0.35">
      <c r="B6" s="92" t="s">
        <v>207</v>
      </c>
      <c r="C6" s="249" t="s">
        <v>208</v>
      </c>
      <c r="D6" s="249" t="s">
        <v>552</v>
      </c>
      <c r="E6" s="249" t="s">
        <v>142</v>
      </c>
      <c r="F6" s="249">
        <v>357244</v>
      </c>
      <c r="G6" s="249">
        <v>98255</v>
      </c>
      <c r="H6" s="249">
        <v>258989</v>
      </c>
      <c r="I6" s="252">
        <v>0</v>
      </c>
      <c r="N6" s="245" t="s">
        <v>183</v>
      </c>
      <c r="O6" s="255" t="s">
        <v>496</v>
      </c>
    </row>
    <row r="7" spans="2:18" x14ac:dyDescent="0.35">
      <c r="B7" s="92" t="s">
        <v>209</v>
      </c>
      <c r="C7" s="249" t="s">
        <v>210</v>
      </c>
      <c r="D7" s="249" t="s">
        <v>552</v>
      </c>
      <c r="E7" s="249" t="s">
        <v>142</v>
      </c>
      <c r="F7" s="249">
        <v>49064</v>
      </c>
      <c r="G7" s="249">
        <v>44068</v>
      </c>
      <c r="H7" s="249">
        <v>4996</v>
      </c>
      <c r="I7" s="252">
        <v>0</v>
      </c>
      <c r="N7" s="245" t="s">
        <v>166</v>
      </c>
      <c r="O7" s="255" t="s">
        <v>497</v>
      </c>
    </row>
    <row r="8" spans="2:18" x14ac:dyDescent="0.35">
      <c r="B8" s="92" t="s">
        <v>211</v>
      </c>
      <c r="C8" s="249" t="s">
        <v>212</v>
      </c>
      <c r="D8" s="249" t="s">
        <v>551</v>
      </c>
      <c r="E8" s="249" t="s">
        <v>141</v>
      </c>
      <c r="F8" s="249">
        <v>7840</v>
      </c>
      <c r="G8" s="249">
        <v>0</v>
      </c>
      <c r="H8" s="249">
        <v>7840</v>
      </c>
      <c r="I8" s="252">
        <v>0</v>
      </c>
      <c r="N8" s="245" t="s">
        <v>57</v>
      </c>
      <c r="O8" s="255" t="s">
        <v>498</v>
      </c>
    </row>
    <row r="9" spans="2:18" x14ac:dyDescent="0.35">
      <c r="B9" s="92" t="s">
        <v>151</v>
      </c>
      <c r="C9" s="249" t="s">
        <v>135</v>
      </c>
      <c r="D9" s="249" t="s">
        <v>551</v>
      </c>
      <c r="E9" s="249" t="s">
        <v>141</v>
      </c>
      <c r="F9" s="249">
        <v>67291990</v>
      </c>
      <c r="G9" s="249">
        <v>18194365</v>
      </c>
      <c r="H9" s="249">
        <v>49097625</v>
      </c>
      <c r="I9" s="252">
        <v>43560.848288867026</v>
      </c>
      <c r="J9" t="s">
        <v>817</v>
      </c>
      <c r="N9" s="245" t="s">
        <v>173</v>
      </c>
      <c r="O9" s="255" t="s">
        <v>499</v>
      </c>
    </row>
    <row r="10" spans="2:18" x14ac:dyDescent="0.35">
      <c r="B10" s="92" t="s">
        <v>213</v>
      </c>
      <c r="C10" s="249" t="s">
        <v>214</v>
      </c>
      <c r="D10" s="249" t="s">
        <v>552</v>
      </c>
      <c r="E10" s="249" t="s">
        <v>142</v>
      </c>
      <c r="F10" s="249">
        <v>234132</v>
      </c>
      <c r="G10" s="249">
        <v>219264</v>
      </c>
      <c r="H10" s="249">
        <v>14868</v>
      </c>
      <c r="I10" s="252">
        <v>0</v>
      </c>
      <c r="N10" s="245" t="s">
        <v>0</v>
      </c>
      <c r="O10" s="255" t="s">
        <v>500</v>
      </c>
    </row>
    <row r="11" spans="2:18" x14ac:dyDescent="0.35">
      <c r="B11" s="92" t="s">
        <v>215</v>
      </c>
      <c r="C11" s="249" t="s">
        <v>216</v>
      </c>
      <c r="D11" s="249" t="s">
        <v>551</v>
      </c>
      <c r="E11" s="249" t="s">
        <v>141</v>
      </c>
      <c r="F11" s="249">
        <v>347602</v>
      </c>
      <c r="G11" s="249">
        <v>195170</v>
      </c>
      <c r="H11" s="249">
        <v>152432</v>
      </c>
      <c r="I11" s="252">
        <v>0</v>
      </c>
      <c r="N11" s="245" t="s">
        <v>58</v>
      </c>
      <c r="O11" s="255" t="s">
        <v>501</v>
      </c>
    </row>
    <row r="12" spans="2:18" x14ac:dyDescent="0.35">
      <c r="B12" s="92" t="s">
        <v>217</v>
      </c>
      <c r="C12" s="249" t="s">
        <v>218</v>
      </c>
      <c r="D12" s="249" t="s">
        <v>551</v>
      </c>
      <c r="E12" s="249" t="s">
        <v>141</v>
      </c>
      <c r="F12" s="249">
        <v>518566</v>
      </c>
      <c r="G12" s="249">
        <v>0</v>
      </c>
      <c r="H12" s="249">
        <v>518566</v>
      </c>
      <c r="I12" s="252">
        <v>0</v>
      </c>
      <c r="N12" s="245" t="s">
        <v>664</v>
      </c>
      <c r="O12" s="255" t="s">
        <v>502</v>
      </c>
    </row>
    <row r="13" spans="2:18" x14ac:dyDescent="0.35">
      <c r="B13" s="92" t="s">
        <v>219</v>
      </c>
      <c r="C13" s="249" t="s">
        <v>220</v>
      </c>
      <c r="D13" s="249" t="s">
        <v>551</v>
      </c>
      <c r="E13" s="249" t="s">
        <v>141</v>
      </c>
      <c r="F13" s="249">
        <v>2094123</v>
      </c>
      <c r="G13" s="249">
        <v>1916957</v>
      </c>
      <c r="H13" s="249">
        <v>177166</v>
      </c>
      <c r="I13" s="252">
        <v>0</v>
      </c>
      <c r="N13" s="245" t="s">
        <v>59</v>
      </c>
      <c r="O13" s="255" t="s">
        <v>503</v>
      </c>
    </row>
    <row r="14" spans="2:18" x14ac:dyDescent="0.35">
      <c r="B14" s="92" t="s">
        <v>221</v>
      </c>
      <c r="C14" s="249" t="s">
        <v>222</v>
      </c>
      <c r="D14" s="249" t="s">
        <v>552</v>
      </c>
      <c r="E14" s="249" t="s">
        <v>142</v>
      </c>
      <c r="F14" s="249">
        <v>81338</v>
      </c>
      <c r="G14" s="249">
        <v>0</v>
      </c>
      <c r="H14" s="249">
        <v>81338</v>
      </c>
      <c r="I14" s="252">
        <v>0</v>
      </c>
      <c r="N14" s="245" t="s">
        <v>665</v>
      </c>
      <c r="O14" s="255" t="s">
        <v>504</v>
      </c>
    </row>
    <row r="15" spans="2:18" x14ac:dyDescent="0.35">
      <c r="B15" s="92" t="s">
        <v>223</v>
      </c>
      <c r="C15" s="249" t="s">
        <v>224</v>
      </c>
      <c r="D15" s="249" t="s">
        <v>551</v>
      </c>
      <c r="E15" s="249" t="s">
        <v>141</v>
      </c>
      <c r="F15" s="249">
        <v>4875556</v>
      </c>
      <c r="G15" s="249">
        <v>4020886</v>
      </c>
      <c r="H15" s="249">
        <v>854670</v>
      </c>
      <c r="I15" s="252">
        <v>0</v>
      </c>
      <c r="N15" s="245" t="s">
        <v>666</v>
      </c>
      <c r="O15" s="255" t="s">
        <v>505</v>
      </c>
    </row>
    <row r="16" spans="2:18" x14ac:dyDescent="0.35">
      <c r="B16" s="92" t="s">
        <v>225</v>
      </c>
      <c r="C16" s="249" t="s">
        <v>226</v>
      </c>
      <c r="D16" s="249" t="s">
        <v>551</v>
      </c>
      <c r="E16" s="249" t="s">
        <v>141</v>
      </c>
      <c r="F16" s="249">
        <v>43801243</v>
      </c>
      <c r="G16" s="249">
        <v>19189330</v>
      </c>
      <c r="H16" s="249">
        <v>24611913</v>
      </c>
      <c r="I16" s="252">
        <v>2400.7303435596</v>
      </c>
      <c r="N16" s="245" t="s">
        <v>667</v>
      </c>
      <c r="O16" s="255" t="s">
        <v>506</v>
      </c>
    </row>
    <row r="17" spans="2:15" x14ac:dyDescent="0.35">
      <c r="B17" s="92" t="s">
        <v>227</v>
      </c>
      <c r="C17" s="249" t="s">
        <v>228</v>
      </c>
      <c r="D17" s="249" t="s">
        <v>551</v>
      </c>
      <c r="E17" s="249" t="s">
        <v>141</v>
      </c>
      <c r="F17" s="249">
        <v>5481018</v>
      </c>
      <c r="G17" s="249">
        <v>4430190</v>
      </c>
      <c r="H17" s="249">
        <v>1050828</v>
      </c>
      <c r="I17" s="252">
        <v>724.40114028360006</v>
      </c>
      <c r="N17" s="245" t="s">
        <v>197</v>
      </c>
      <c r="O17" s="255" t="s">
        <v>507</v>
      </c>
    </row>
    <row r="18" spans="2:15" x14ac:dyDescent="0.35">
      <c r="B18" s="92" t="s">
        <v>229</v>
      </c>
      <c r="C18" s="249" t="s">
        <v>230</v>
      </c>
      <c r="D18" s="249" t="s">
        <v>552</v>
      </c>
      <c r="E18" s="249" t="s">
        <v>142</v>
      </c>
      <c r="F18" s="249">
        <v>108029</v>
      </c>
      <c r="G18" s="249">
        <v>0</v>
      </c>
      <c r="H18" s="249">
        <v>108029</v>
      </c>
      <c r="I18" s="252">
        <v>0</v>
      </c>
      <c r="N18" s="245" t="s">
        <v>60</v>
      </c>
      <c r="O18" s="255" t="s">
        <v>508</v>
      </c>
    </row>
    <row r="19" spans="2:15" x14ac:dyDescent="0.35">
      <c r="B19" s="92" t="s">
        <v>231</v>
      </c>
      <c r="C19" s="249" t="s">
        <v>232</v>
      </c>
      <c r="D19" s="249" t="s">
        <v>552</v>
      </c>
      <c r="E19" s="249" t="s">
        <v>141</v>
      </c>
      <c r="F19" s="249">
        <v>1754692</v>
      </c>
      <c r="G19" s="249">
        <v>683927</v>
      </c>
      <c r="H19" s="249">
        <v>1070765</v>
      </c>
      <c r="I19" s="252">
        <v>3664.5916926333002</v>
      </c>
      <c r="N19" s="245" t="s">
        <v>668</v>
      </c>
      <c r="O19" s="255" t="s">
        <v>509</v>
      </c>
    </row>
    <row r="20" spans="2:15" x14ac:dyDescent="0.35">
      <c r="B20" s="92" t="s">
        <v>233</v>
      </c>
      <c r="C20" s="249" t="s">
        <v>234</v>
      </c>
      <c r="D20" s="249" t="s">
        <v>551</v>
      </c>
      <c r="E20" s="249" t="s">
        <v>141</v>
      </c>
      <c r="F20" s="249">
        <v>6210916</v>
      </c>
      <c r="G20" s="249">
        <v>2889949</v>
      </c>
      <c r="H20" s="249">
        <v>3320967</v>
      </c>
      <c r="I20" s="252">
        <v>2183.5246351476999</v>
      </c>
      <c r="N20" s="245" t="s">
        <v>61</v>
      </c>
      <c r="O20" s="255" t="s">
        <v>510</v>
      </c>
    </row>
    <row r="21" spans="2:15" x14ac:dyDescent="0.35">
      <c r="B21" s="92" t="s">
        <v>235</v>
      </c>
      <c r="C21" s="249" t="s">
        <v>236</v>
      </c>
      <c r="D21" s="249" t="s">
        <v>551</v>
      </c>
      <c r="E21" s="249" t="s">
        <v>141</v>
      </c>
      <c r="F21" s="249">
        <v>37654843</v>
      </c>
      <c r="G21" s="249">
        <v>28430628</v>
      </c>
      <c r="H21" s="249">
        <v>9224215</v>
      </c>
      <c r="I21" s="252">
        <v>8828.2780521584991</v>
      </c>
      <c r="N21" s="245" t="s">
        <v>669</v>
      </c>
      <c r="O21" s="255" t="s">
        <v>511</v>
      </c>
    </row>
    <row r="22" spans="2:15" x14ac:dyDescent="0.35">
      <c r="B22" s="92" t="s">
        <v>237</v>
      </c>
      <c r="C22" s="249" t="s">
        <v>238</v>
      </c>
      <c r="D22" s="249" t="s">
        <v>552</v>
      </c>
      <c r="E22" s="249" t="s">
        <v>142</v>
      </c>
      <c r="F22" s="249">
        <v>60885</v>
      </c>
      <c r="G22" s="249">
        <v>0</v>
      </c>
      <c r="H22" s="249">
        <v>60885</v>
      </c>
      <c r="I22" s="252">
        <v>0</v>
      </c>
      <c r="N22" s="245" t="s">
        <v>755</v>
      </c>
      <c r="O22" s="255" t="s">
        <v>512</v>
      </c>
    </row>
    <row r="23" spans="2:15" x14ac:dyDescent="0.35">
      <c r="B23" s="92" t="s">
        <v>239</v>
      </c>
      <c r="C23" s="249" t="s">
        <v>240</v>
      </c>
      <c r="D23" s="249" t="s">
        <v>551</v>
      </c>
      <c r="E23" s="249" t="s">
        <v>141</v>
      </c>
      <c r="F23" s="249">
        <v>3164655</v>
      </c>
      <c r="G23" s="249">
        <v>1609546</v>
      </c>
      <c r="H23" s="249">
        <v>1555109</v>
      </c>
      <c r="I23" s="252">
        <v>6578.8265038002</v>
      </c>
      <c r="N23" s="245" t="s">
        <v>191</v>
      </c>
      <c r="O23" s="255" t="s">
        <v>513</v>
      </c>
    </row>
    <row r="24" spans="2:15" x14ac:dyDescent="0.35">
      <c r="B24" s="92" t="s">
        <v>241</v>
      </c>
      <c r="C24" s="249" t="s">
        <v>242</v>
      </c>
      <c r="D24" s="249" t="s">
        <v>551</v>
      </c>
      <c r="E24" s="249" t="s">
        <v>141</v>
      </c>
      <c r="F24" s="249">
        <v>764312</v>
      </c>
      <c r="G24" s="249">
        <v>614034</v>
      </c>
      <c r="H24" s="249">
        <v>150278</v>
      </c>
      <c r="I24" s="252">
        <v>0</v>
      </c>
      <c r="N24" s="245" t="s">
        <v>184</v>
      </c>
      <c r="O24" s="255" t="s">
        <v>514</v>
      </c>
    </row>
    <row r="25" spans="2:15" x14ac:dyDescent="0.35">
      <c r="B25" s="92" t="s">
        <v>243</v>
      </c>
      <c r="C25" s="249" t="s">
        <v>244</v>
      </c>
      <c r="D25" s="249" t="s">
        <v>552</v>
      </c>
      <c r="E25" s="249" t="s">
        <v>141</v>
      </c>
      <c r="F25" s="249">
        <v>701766</v>
      </c>
      <c r="G25" s="249">
        <v>441786</v>
      </c>
      <c r="H25" s="249">
        <v>259980</v>
      </c>
      <c r="I25" s="252">
        <v>1374.6878455167</v>
      </c>
      <c r="N25" s="245" t="s">
        <v>670</v>
      </c>
      <c r="O25" s="255" t="s">
        <v>515</v>
      </c>
    </row>
    <row r="26" spans="2:15" x14ac:dyDescent="0.35">
      <c r="B26" s="92" t="s">
        <v>245</v>
      </c>
      <c r="C26" s="249" t="s">
        <v>246</v>
      </c>
      <c r="D26" s="249" t="s">
        <v>551</v>
      </c>
      <c r="E26" s="249" t="s">
        <v>142</v>
      </c>
      <c r="F26" s="249">
        <v>1647967</v>
      </c>
      <c r="G26" s="249">
        <v>1646387</v>
      </c>
      <c r="H26" s="249">
        <v>1580</v>
      </c>
      <c r="I26" s="252">
        <v>0</v>
      </c>
      <c r="N26" s="245" t="s">
        <v>62</v>
      </c>
      <c r="O26" s="255" t="s">
        <v>516</v>
      </c>
    </row>
    <row r="27" spans="2:15" x14ac:dyDescent="0.35">
      <c r="B27" s="92" t="s">
        <v>247</v>
      </c>
      <c r="C27" s="249" t="s">
        <v>248</v>
      </c>
      <c r="D27" s="249" t="s">
        <v>552</v>
      </c>
      <c r="E27" s="249" t="s">
        <v>142</v>
      </c>
      <c r="F27" s="249">
        <v>130523</v>
      </c>
      <c r="G27" s="249">
        <v>0</v>
      </c>
      <c r="H27" s="249">
        <v>130523</v>
      </c>
      <c r="I27" s="252">
        <v>0</v>
      </c>
      <c r="N27" s="245" t="s">
        <v>756</v>
      </c>
      <c r="O27" s="255" t="s">
        <v>517</v>
      </c>
    </row>
    <row r="28" spans="2:15" x14ac:dyDescent="0.35">
      <c r="B28" s="92" t="s">
        <v>249</v>
      </c>
      <c r="C28" s="249" t="s">
        <v>136</v>
      </c>
      <c r="D28" s="249" t="s">
        <v>551</v>
      </c>
      <c r="E28" s="249" t="s">
        <v>141</v>
      </c>
      <c r="F28" s="249">
        <v>17225</v>
      </c>
      <c r="G28" s="249">
        <v>0</v>
      </c>
      <c r="H28" s="249">
        <v>17225</v>
      </c>
      <c r="I28" s="252">
        <v>0</v>
      </c>
      <c r="N28" s="245" t="s">
        <v>671</v>
      </c>
      <c r="O28" s="255" t="s">
        <v>518</v>
      </c>
    </row>
    <row r="29" spans="2:15" x14ac:dyDescent="0.35">
      <c r="B29" s="92" t="s">
        <v>250</v>
      </c>
      <c r="C29" s="249" t="s">
        <v>251</v>
      </c>
      <c r="D29" s="249" t="s">
        <v>551</v>
      </c>
      <c r="E29" s="249" t="s">
        <v>141</v>
      </c>
      <c r="F29" s="249">
        <v>70807</v>
      </c>
      <c r="G29" s="249">
        <v>0</v>
      </c>
      <c r="H29" s="249">
        <v>70807</v>
      </c>
      <c r="I29" s="252">
        <v>0</v>
      </c>
      <c r="N29" s="245" t="s">
        <v>178</v>
      </c>
      <c r="O29" s="255" t="s">
        <v>519</v>
      </c>
    </row>
    <row r="30" spans="2:15" x14ac:dyDescent="0.35">
      <c r="B30" s="92" t="s">
        <v>252</v>
      </c>
      <c r="C30" s="249" t="s">
        <v>253</v>
      </c>
      <c r="D30" s="249" t="s">
        <v>552</v>
      </c>
      <c r="E30" s="249" t="s">
        <v>141</v>
      </c>
      <c r="F30" s="249">
        <v>288139</v>
      </c>
      <c r="G30" s="249">
        <v>155248</v>
      </c>
      <c r="H30" s="249">
        <v>132891</v>
      </c>
      <c r="I30" s="252">
        <v>918.77801288988007</v>
      </c>
      <c r="N30" s="245" t="s">
        <v>193</v>
      </c>
      <c r="O30" s="255" t="s">
        <v>520</v>
      </c>
    </row>
    <row r="31" spans="2:15" x14ac:dyDescent="0.35">
      <c r="B31" s="92" t="s">
        <v>254</v>
      </c>
      <c r="C31" s="249" t="s">
        <v>255</v>
      </c>
      <c r="D31" s="249" t="s">
        <v>552</v>
      </c>
      <c r="E31" s="249" t="s">
        <v>142</v>
      </c>
      <c r="F31" s="249">
        <v>955509</v>
      </c>
      <c r="G31" s="249">
        <v>909965</v>
      </c>
      <c r="H31" s="249">
        <v>45544</v>
      </c>
      <c r="I31" s="252">
        <v>0</v>
      </c>
      <c r="N31" s="245" t="s">
        <v>63</v>
      </c>
      <c r="O31" s="255" t="s">
        <v>521</v>
      </c>
    </row>
    <row r="32" spans="2:15" x14ac:dyDescent="0.35">
      <c r="B32" s="92" t="s">
        <v>256</v>
      </c>
      <c r="C32" s="249" t="s">
        <v>257</v>
      </c>
      <c r="D32" s="249" t="s">
        <v>551</v>
      </c>
      <c r="E32" s="249" t="s">
        <v>141</v>
      </c>
      <c r="F32" s="249">
        <v>0</v>
      </c>
      <c r="G32" s="249">
        <v>0</v>
      </c>
      <c r="H32" s="249">
        <v>0</v>
      </c>
      <c r="I32" s="252">
        <v>0</v>
      </c>
      <c r="N32" s="245" t="s">
        <v>672</v>
      </c>
      <c r="O32" s="255" t="s">
        <v>522</v>
      </c>
    </row>
    <row r="33" spans="2:15" x14ac:dyDescent="0.35">
      <c r="B33" s="92" t="s">
        <v>258</v>
      </c>
      <c r="C33" s="249" t="s">
        <v>259</v>
      </c>
      <c r="D33" s="249" t="s">
        <v>552</v>
      </c>
      <c r="E33" s="249" t="s">
        <v>141</v>
      </c>
      <c r="F33" s="249">
        <v>1802091</v>
      </c>
      <c r="G33" s="249">
        <v>1690409</v>
      </c>
      <c r="H33" s="249">
        <v>111682</v>
      </c>
      <c r="I33" s="252">
        <v>1299.9454354901302</v>
      </c>
      <c r="N33" s="245" t="s">
        <v>170</v>
      </c>
      <c r="O33" s="255" t="s">
        <v>523</v>
      </c>
    </row>
    <row r="34" spans="2:15" x14ac:dyDescent="0.35">
      <c r="B34" s="92" t="s">
        <v>260</v>
      </c>
      <c r="C34" s="249" t="s">
        <v>261</v>
      </c>
      <c r="D34" s="249" t="s">
        <v>552</v>
      </c>
      <c r="E34" s="249" t="s">
        <v>142</v>
      </c>
      <c r="F34" s="253">
        <v>0</v>
      </c>
      <c r="G34" s="253">
        <v>0</v>
      </c>
      <c r="H34" s="253">
        <v>0</v>
      </c>
      <c r="I34" s="252">
        <v>0</v>
      </c>
      <c r="N34" s="245" t="s">
        <v>169</v>
      </c>
      <c r="O34" s="255" t="s">
        <v>524</v>
      </c>
    </row>
    <row r="35" spans="2:15" x14ac:dyDescent="0.35">
      <c r="B35" s="92" t="s">
        <v>262</v>
      </c>
      <c r="C35" s="249" t="s">
        <v>263</v>
      </c>
      <c r="D35" s="249" t="s">
        <v>551</v>
      </c>
      <c r="E35" s="249" t="s">
        <v>141</v>
      </c>
      <c r="F35" s="253">
        <v>300312</v>
      </c>
      <c r="G35" s="253">
        <v>199115</v>
      </c>
      <c r="H35" s="253">
        <v>101197</v>
      </c>
      <c r="I35" s="252">
        <v>0</v>
      </c>
      <c r="N35" s="245" t="s">
        <v>2</v>
      </c>
      <c r="O35" s="255" t="s">
        <v>525</v>
      </c>
    </row>
    <row r="36" spans="2:15" x14ac:dyDescent="0.35">
      <c r="B36" s="92" t="s">
        <v>264</v>
      </c>
      <c r="C36" s="249" t="s">
        <v>265</v>
      </c>
      <c r="D36" s="249" t="s">
        <v>552</v>
      </c>
      <c r="E36" s="249" t="s">
        <v>142</v>
      </c>
      <c r="F36" s="253">
        <v>138677</v>
      </c>
      <c r="G36" s="253">
        <v>0</v>
      </c>
      <c r="H36" s="253">
        <v>138677</v>
      </c>
      <c r="I36" s="252">
        <v>0</v>
      </c>
      <c r="N36" s="245" t="s">
        <v>673</v>
      </c>
      <c r="O36" s="255" t="s">
        <v>526</v>
      </c>
    </row>
    <row r="37" spans="2:15" x14ac:dyDescent="0.35">
      <c r="B37" s="92" t="s">
        <v>266</v>
      </c>
      <c r="C37" s="249" t="s">
        <v>267</v>
      </c>
      <c r="D37" s="249" t="s">
        <v>552</v>
      </c>
      <c r="E37" s="249" t="s">
        <v>141</v>
      </c>
      <c r="F37" s="253">
        <v>3835772</v>
      </c>
      <c r="G37" s="253">
        <v>1114300</v>
      </c>
      <c r="H37" s="253">
        <v>2721472</v>
      </c>
      <c r="I37" s="252">
        <v>0</v>
      </c>
      <c r="N37" s="245" t="s">
        <v>674</v>
      </c>
      <c r="O37" s="255" t="s">
        <v>527</v>
      </c>
    </row>
    <row r="38" spans="2:15" x14ac:dyDescent="0.35">
      <c r="B38" s="92" t="s">
        <v>268</v>
      </c>
      <c r="C38" s="249" t="s">
        <v>269</v>
      </c>
      <c r="D38" s="249" t="s">
        <v>551</v>
      </c>
      <c r="E38" s="249" t="s">
        <v>141</v>
      </c>
      <c r="F38" s="253">
        <v>76115</v>
      </c>
      <c r="G38" s="253">
        <v>0</v>
      </c>
      <c r="H38" s="253">
        <v>76115</v>
      </c>
      <c r="I38" s="252">
        <v>2227.4535974977002</v>
      </c>
      <c r="N38" s="245" t="s">
        <v>64</v>
      </c>
      <c r="O38" s="255" t="s">
        <v>528</v>
      </c>
    </row>
    <row r="39" spans="2:15" x14ac:dyDescent="0.35">
      <c r="B39" s="92" t="s">
        <v>270</v>
      </c>
      <c r="C39" s="249" t="s">
        <v>271</v>
      </c>
      <c r="D39" s="249" t="s">
        <v>551</v>
      </c>
      <c r="E39" s="249" t="s">
        <v>141</v>
      </c>
      <c r="F39" s="253">
        <v>1745704</v>
      </c>
      <c r="G39" s="253">
        <v>416855</v>
      </c>
      <c r="H39" s="253">
        <v>1328849</v>
      </c>
      <c r="I39" s="252">
        <v>1637.94533108778</v>
      </c>
      <c r="N39" s="245" t="s">
        <v>189</v>
      </c>
      <c r="O39" s="255" t="s">
        <v>529</v>
      </c>
    </row>
    <row r="40" spans="2:15" x14ac:dyDescent="0.35">
      <c r="B40" s="92" t="s">
        <v>272</v>
      </c>
      <c r="C40" s="249" t="s">
        <v>273</v>
      </c>
      <c r="D40" s="249" t="s">
        <v>551</v>
      </c>
      <c r="E40" s="249" t="s">
        <v>141</v>
      </c>
      <c r="F40" s="253">
        <v>13116201</v>
      </c>
      <c r="G40" s="253">
        <v>10601143</v>
      </c>
      <c r="H40" s="253">
        <v>2515058</v>
      </c>
      <c r="I40" s="252">
        <v>4960.8600647891999</v>
      </c>
      <c r="N40" s="245" t="s">
        <v>3</v>
      </c>
      <c r="O40" s="255" t="s">
        <v>530</v>
      </c>
    </row>
    <row r="41" spans="2:15" x14ac:dyDescent="0.35">
      <c r="B41" s="92" t="s">
        <v>274</v>
      </c>
      <c r="C41" s="249" t="s">
        <v>275</v>
      </c>
      <c r="D41" s="249" t="s">
        <v>551</v>
      </c>
      <c r="E41" s="249" t="s">
        <v>141</v>
      </c>
      <c r="F41" s="253">
        <v>1140547</v>
      </c>
      <c r="G41" s="253">
        <v>781445</v>
      </c>
      <c r="H41" s="253">
        <v>359102</v>
      </c>
      <c r="I41" s="252">
        <v>0</v>
      </c>
      <c r="N41" s="245" t="s">
        <v>675</v>
      </c>
      <c r="O41" s="255" t="s">
        <v>531</v>
      </c>
    </row>
    <row r="42" spans="2:15" x14ac:dyDescent="0.35">
      <c r="B42" s="92" t="s">
        <v>276</v>
      </c>
      <c r="C42" s="249" t="s">
        <v>277</v>
      </c>
      <c r="D42" s="249" t="s">
        <v>551</v>
      </c>
      <c r="E42" s="249" t="s">
        <v>141</v>
      </c>
      <c r="F42" s="253">
        <v>453278</v>
      </c>
      <c r="G42" s="253">
        <v>453278</v>
      </c>
      <c r="H42" s="253">
        <v>0</v>
      </c>
      <c r="I42" s="252">
        <v>0</v>
      </c>
      <c r="N42" s="245" t="s">
        <v>757</v>
      </c>
      <c r="O42" s="255" t="s">
        <v>532</v>
      </c>
    </row>
    <row r="43" spans="2:15" x14ac:dyDescent="0.35">
      <c r="B43" s="92" t="s">
        <v>278</v>
      </c>
      <c r="C43" s="249" t="s">
        <v>279</v>
      </c>
      <c r="D43" s="249" t="s">
        <v>552</v>
      </c>
      <c r="E43" s="249" t="s">
        <v>141</v>
      </c>
      <c r="F43" s="253">
        <v>294411</v>
      </c>
      <c r="G43" s="253">
        <v>0</v>
      </c>
      <c r="H43" s="253">
        <v>294411</v>
      </c>
      <c r="I43" s="252">
        <v>0</v>
      </c>
      <c r="N43" s="245" t="s">
        <v>676</v>
      </c>
      <c r="O43" s="255" t="s">
        <v>533</v>
      </c>
    </row>
    <row r="44" spans="2:15" x14ac:dyDescent="0.35">
      <c r="B44" s="92" t="s">
        <v>280</v>
      </c>
      <c r="C44" s="249" t="s">
        <v>281</v>
      </c>
      <c r="D44" s="249" t="s">
        <v>552</v>
      </c>
      <c r="E44" s="249" t="s">
        <v>142</v>
      </c>
      <c r="F44" s="253">
        <v>1252261</v>
      </c>
      <c r="G44" s="253">
        <v>0</v>
      </c>
      <c r="H44" s="253">
        <v>1252261</v>
      </c>
      <c r="I44" s="252">
        <v>0</v>
      </c>
      <c r="N44" s="245" t="s">
        <v>758</v>
      </c>
      <c r="O44" s="255" t="s">
        <v>534</v>
      </c>
    </row>
    <row r="45" spans="2:15" x14ac:dyDescent="0.35">
      <c r="B45" s="92" t="s">
        <v>282</v>
      </c>
      <c r="C45" s="249" t="s">
        <v>283</v>
      </c>
      <c r="D45" s="249" t="s">
        <v>551</v>
      </c>
      <c r="E45" s="249" t="s">
        <v>141</v>
      </c>
      <c r="F45" s="253">
        <v>176487</v>
      </c>
      <c r="G45" s="253">
        <v>145895</v>
      </c>
      <c r="H45" s="253">
        <v>30592</v>
      </c>
      <c r="I45" s="252">
        <v>0</v>
      </c>
      <c r="N45" s="245" t="s">
        <v>759</v>
      </c>
      <c r="O45" s="255" t="s">
        <v>535</v>
      </c>
    </row>
    <row r="46" spans="2:15" x14ac:dyDescent="0.35">
      <c r="B46" s="92" t="s">
        <v>284</v>
      </c>
      <c r="C46" s="249" t="s">
        <v>285</v>
      </c>
      <c r="D46" s="249" t="s">
        <v>551</v>
      </c>
      <c r="E46" s="249" t="s">
        <v>141</v>
      </c>
      <c r="F46" s="253">
        <v>85208232</v>
      </c>
      <c r="G46" s="253">
        <v>43642505</v>
      </c>
      <c r="H46" s="253">
        <v>41565727</v>
      </c>
      <c r="I46" s="252">
        <v>72378.592562516496</v>
      </c>
      <c r="N46" s="245" t="s">
        <v>123</v>
      </c>
      <c r="O46" s="255" t="s">
        <v>536</v>
      </c>
    </row>
    <row r="47" spans="2:15" x14ac:dyDescent="0.35">
      <c r="B47" s="92" t="s">
        <v>286</v>
      </c>
      <c r="C47" s="249" t="s">
        <v>287</v>
      </c>
      <c r="D47" s="249" t="s">
        <v>551</v>
      </c>
      <c r="E47" s="249" t="s">
        <v>141</v>
      </c>
      <c r="F47" s="253">
        <v>1518629</v>
      </c>
      <c r="G47" s="253">
        <v>954000</v>
      </c>
      <c r="H47" s="253">
        <v>564629</v>
      </c>
      <c r="I47" s="252">
        <v>0</v>
      </c>
      <c r="N47" s="245" t="s">
        <v>187</v>
      </c>
      <c r="O47" s="255" t="s">
        <v>537</v>
      </c>
    </row>
    <row r="48" spans="2:15" x14ac:dyDescent="0.35">
      <c r="B48" s="92" t="s">
        <v>288</v>
      </c>
      <c r="C48" s="249" t="s">
        <v>289</v>
      </c>
      <c r="D48" s="249" t="s">
        <v>552</v>
      </c>
      <c r="E48" s="249" t="s">
        <v>142</v>
      </c>
      <c r="F48" s="253">
        <v>1031015</v>
      </c>
      <c r="G48" s="253">
        <v>398074</v>
      </c>
      <c r="H48" s="253">
        <v>632941</v>
      </c>
      <c r="I48" s="252">
        <v>0</v>
      </c>
      <c r="N48" s="245" t="s">
        <v>760</v>
      </c>
      <c r="O48" s="255" t="s">
        <v>538</v>
      </c>
    </row>
    <row r="49" spans="2:15" x14ac:dyDescent="0.35">
      <c r="B49" s="92" t="s">
        <v>290</v>
      </c>
      <c r="C49" s="249" t="s">
        <v>791</v>
      </c>
      <c r="D49" s="249" t="s">
        <v>551</v>
      </c>
      <c r="E49" s="249" t="s">
        <v>141</v>
      </c>
      <c r="F49" s="253">
        <v>92021889</v>
      </c>
      <c r="G49" s="253">
        <v>38671163</v>
      </c>
      <c r="H49" s="253">
        <v>53350726</v>
      </c>
      <c r="I49" s="252">
        <v>33684.36</v>
      </c>
      <c r="N49" s="245" t="s">
        <v>761</v>
      </c>
      <c r="O49" s="255" t="s">
        <v>539</v>
      </c>
    </row>
    <row r="50" spans="2:15" x14ac:dyDescent="0.35">
      <c r="B50" s="92" t="s">
        <v>291</v>
      </c>
      <c r="C50" s="249" t="s">
        <v>292</v>
      </c>
      <c r="D50" s="249" t="s">
        <v>551</v>
      </c>
      <c r="E50" s="249" t="s">
        <v>141</v>
      </c>
      <c r="F50" s="253">
        <v>2251681</v>
      </c>
      <c r="G50" s="253">
        <v>1138375</v>
      </c>
      <c r="H50" s="253">
        <v>1113306</v>
      </c>
      <c r="I50" s="252">
        <v>2410.7126772898</v>
      </c>
      <c r="N50" s="245" t="s">
        <v>65</v>
      </c>
      <c r="O50" s="255" t="s">
        <v>540</v>
      </c>
    </row>
    <row r="51" spans="2:15" x14ac:dyDescent="0.35">
      <c r="B51" s="92" t="s">
        <v>293</v>
      </c>
      <c r="C51" s="249" t="s">
        <v>294</v>
      </c>
      <c r="D51" s="249" t="s">
        <v>551</v>
      </c>
      <c r="E51" s="249" t="s">
        <v>141</v>
      </c>
      <c r="F51" s="253">
        <v>5923211</v>
      </c>
      <c r="G51" s="253">
        <v>1665982</v>
      </c>
      <c r="H51" s="253">
        <v>4257229</v>
      </c>
      <c r="I51" s="252">
        <v>572.06804998589996</v>
      </c>
      <c r="N51" s="245" t="s">
        <v>677</v>
      </c>
      <c r="O51" s="255" t="s">
        <v>541</v>
      </c>
    </row>
    <row r="52" spans="2:15" x14ac:dyDescent="0.35">
      <c r="B52" s="92" t="s">
        <v>295</v>
      </c>
      <c r="C52" s="249" t="s">
        <v>296</v>
      </c>
      <c r="D52" s="249" t="s">
        <v>551</v>
      </c>
      <c r="E52" s="249" t="s">
        <v>141</v>
      </c>
      <c r="F52" s="253">
        <v>261297</v>
      </c>
      <c r="G52" s="253">
        <v>240314</v>
      </c>
      <c r="H52" s="253">
        <v>20983</v>
      </c>
      <c r="I52" s="252">
        <v>0</v>
      </c>
      <c r="N52" s="245" t="s">
        <v>762</v>
      </c>
      <c r="O52" s="255" t="s">
        <v>542</v>
      </c>
    </row>
    <row r="53" spans="2:15" x14ac:dyDescent="0.35">
      <c r="B53" s="92" t="s">
        <v>297</v>
      </c>
      <c r="C53" s="249" t="s">
        <v>298</v>
      </c>
      <c r="D53" s="249" t="s">
        <v>552</v>
      </c>
      <c r="E53" s="249" t="s">
        <v>141</v>
      </c>
      <c r="F53" s="253">
        <v>164514</v>
      </c>
      <c r="G53" s="253">
        <v>0</v>
      </c>
      <c r="H53" s="253">
        <v>164514</v>
      </c>
      <c r="I53" s="252">
        <v>0</v>
      </c>
      <c r="N53" s="245" t="s">
        <v>678</v>
      </c>
      <c r="O53" s="255" t="s">
        <v>543</v>
      </c>
    </row>
    <row r="54" spans="2:15" x14ac:dyDescent="0.35">
      <c r="B54" s="92" t="s">
        <v>299</v>
      </c>
      <c r="C54" s="249" t="s">
        <v>300</v>
      </c>
      <c r="D54" s="249" t="s">
        <v>551</v>
      </c>
      <c r="E54" s="249" t="s">
        <v>141</v>
      </c>
      <c r="F54" s="253">
        <v>2041620</v>
      </c>
      <c r="G54" s="253">
        <v>1132680</v>
      </c>
      <c r="H54" s="253">
        <v>908940</v>
      </c>
      <c r="I54" s="252">
        <v>0</v>
      </c>
      <c r="N54" s="245" t="s">
        <v>171</v>
      </c>
      <c r="O54" s="255" t="s">
        <v>544</v>
      </c>
    </row>
    <row r="55" spans="2:15" x14ac:dyDescent="0.35">
      <c r="B55" s="92" t="s">
        <v>301</v>
      </c>
      <c r="C55" s="249" t="s">
        <v>792</v>
      </c>
      <c r="D55" s="249" t="s">
        <v>551</v>
      </c>
      <c r="E55" s="249" t="s">
        <v>141</v>
      </c>
      <c r="F55" s="253">
        <v>24398</v>
      </c>
      <c r="G55" s="253">
        <v>0</v>
      </c>
      <c r="H55" s="253">
        <v>24398</v>
      </c>
      <c r="I55" s="252">
        <v>0</v>
      </c>
      <c r="N55" s="245" t="s">
        <v>679</v>
      </c>
      <c r="O55" s="255" t="s">
        <v>545</v>
      </c>
    </row>
    <row r="56" spans="2:15" x14ac:dyDescent="0.35">
      <c r="B56" s="92" t="s">
        <v>302</v>
      </c>
      <c r="C56" s="249" t="s">
        <v>793</v>
      </c>
      <c r="D56" s="249" t="s">
        <v>552</v>
      </c>
      <c r="E56" s="249" t="s">
        <v>142</v>
      </c>
      <c r="F56" s="253">
        <v>2221185</v>
      </c>
      <c r="G56" s="253">
        <v>2108692</v>
      </c>
      <c r="H56" s="253">
        <v>112493</v>
      </c>
      <c r="I56" s="252">
        <v>0</v>
      </c>
      <c r="N56" s="245" t="s">
        <v>680</v>
      </c>
      <c r="O56" s="255" t="s">
        <v>546</v>
      </c>
    </row>
    <row r="57" spans="2:15" x14ac:dyDescent="0.35">
      <c r="B57" s="92" t="s">
        <v>303</v>
      </c>
      <c r="C57" s="249" t="s">
        <v>304</v>
      </c>
      <c r="D57" s="249" t="s">
        <v>552</v>
      </c>
      <c r="E57" s="249" t="s">
        <v>142</v>
      </c>
      <c r="F57" s="253">
        <v>5973391</v>
      </c>
      <c r="G57" s="253">
        <v>5715152</v>
      </c>
      <c r="H57" s="253">
        <v>258239</v>
      </c>
      <c r="I57" s="252">
        <v>0</v>
      </c>
      <c r="N57" s="245" t="s">
        <v>66</v>
      </c>
      <c r="O57" s="255" t="s">
        <v>547</v>
      </c>
    </row>
    <row r="58" spans="2:15" x14ac:dyDescent="0.35">
      <c r="B58" s="92" t="s">
        <v>305</v>
      </c>
      <c r="C58" s="249" t="s">
        <v>306</v>
      </c>
      <c r="D58" s="249" t="s">
        <v>552</v>
      </c>
      <c r="E58" s="249" t="s">
        <v>142</v>
      </c>
      <c r="F58" s="253">
        <v>4382272</v>
      </c>
      <c r="G58" s="253">
        <v>3328352</v>
      </c>
      <c r="H58" s="253">
        <v>1053920</v>
      </c>
      <c r="I58" s="252">
        <v>0</v>
      </c>
      <c r="N58" s="245" t="s">
        <v>763</v>
      </c>
      <c r="O58" s="255" t="s">
        <v>548</v>
      </c>
    </row>
    <row r="59" spans="2:15" x14ac:dyDescent="0.35">
      <c r="B59" s="92" t="s">
        <v>307</v>
      </c>
      <c r="C59" s="249" t="s">
        <v>794</v>
      </c>
      <c r="D59" s="249" t="s">
        <v>551</v>
      </c>
      <c r="E59" s="249" t="s">
        <v>141</v>
      </c>
      <c r="F59" s="253">
        <v>2445687</v>
      </c>
      <c r="G59" s="253">
        <v>1614402</v>
      </c>
      <c r="H59" s="253">
        <v>831285</v>
      </c>
      <c r="I59" s="252">
        <v>1389.5483859231001</v>
      </c>
      <c r="N59" s="245" t="s">
        <v>681</v>
      </c>
      <c r="O59" s="255" t="s">
        <v>549</v>
      </c>
    </row>
    <row r="60" spans="2:15" ht="15" thickBot="1" x14ac:dyDescent="0.4">
      <c r="B60" s="92" t="s">
        <v>308</v>
      </c>
      <c r="C60" s="249" t="s">
        <v>309</v>
      </c>
      <c r="D60" s="249" t="s">
        <v>551</v>
      </c>
      <c r="E60" s="249" t="s">
        <v>141</v>
      </c>
      <c r="F60" s="253">
        <v>17600</v>
      </c>
      <c r="G60" s="253">
        <v>0</v>
      </c>
      <c r="H60" s="253">
        <v>17600</v>
      </c>
      <c r="I60" s="252">
        <v>0</v>
      </c>
      <c r="N60" s="245" t="s">
        <v>4</v>
      </c>
      <c r="O60" s="256" t="s">
        <v>550</v>
      </c>
    </row>
    <row r="61" spans="2:15" x14ac:dyDescent="0.35">
      <c r="B61" s="92" t="s">
        <v>310</v>
      </c>
      <c r="C61" s="249" t="s">
        <v>311</v>
      </c>
      <c r="D61" s="249" t="s">
        <v>552</v>
      </c>
      <c r="E61" s="249" t="s">
        <v>142</v>
      </c>
      <c r="F61" s="253">
        <v>2766196</v>
      </c>
      <c r="G61" s="253">
        <v>1999051</v>
      </c>
      <c r="H61" s="253">
        <v>767145</v>
      </c>
      <c r="I61" s="252">
        <v>0</v>
      </c>
      <c r="N61" s="245" t="s">
        <v>682</v>
      </c>
    </row>
    <row r="62" spans="2:15" x14ac:dyDescent="0.35">
      <c r="B62" s="92" t="s">
        <v>312</v>
      </c>
      <c r="C62" s="249" t="s">
        <v>313</v>
      </c>
      <c r="D62" s="249" t="s">
        <v>552</v>
      </c>
      <c r="E62" s="249" t="s">
        <v>141</v>
      </c>
      <c r="F62" s="253">
        <v>22367363</v>
      </c>
      <c r="G62" s="253">
        <v>10014307</v>
      </c>
      <c r="H62" s="253">
        <v>12353056</v>
      </c>
      <c r="I62" s="252">
        <v>29219.87812813498</v>
      </c>
      <c r="N62" s="245" t="s">
        <v>683</v>
      </c>
    </row>
    <row r="63" spans="2:15" x14ac:dyDescent="0.35">
      <c r="B63" s="92" t="s">
        <v>314</v>
      </c>
      <c r="C63" s="249" t="s">
        <v>315</v>
      </c>
      <c r="D63" s="249" t="s">
        <v>551</v>
      </c>
      <c r="E63" s="249" t="s">
        <v>141</v>
      </c>
      <c r="F63" s="253">
        <v>30334</v>
      </c>
      <c r="G63" s="253">
        <v>0</v>
      </c>
      <c r="H63" s="253">
        <v>30334</v>
      </c>
      <c r="I63" s="252">
        <v>0</v>
      </c>
      <c r="N63" s="245" t="s">
        <v>188</v>
      </c>
    </row>
    <row r="64" spans="2:15" x14ac:dyDescent="0.35">
      <c r="B64" s="92" t="s">
        <v>316</v>
      </c>
      <c r="C64" s="249" t="s">
        <v>317</v>
      </c>
      <c r="D64" s="249" t="s">
        <v>552</v>
      </c>
      <c r="E64" s="249" t="s">
        <v>142</v>
      </c>
      <c r="F64" s="253">
        <v>8184346</v>
      </c>
      <c r="G64" s="253">
        <v>6722674</v>
      </c>
      <c r="H64" s="253">
        <v>1461672</v>
      </c>
      <c r="I64" s="252">
        <v>0</v>
      </c>
      <c r="N64" s="245" t="s">
        <v>684</v>
      </c>
    </row>
    <row r="65" spans="2:14" x14ac:dyDescent="0.35">
      <c r="B65" s="92" t="s">
        <v>318</v>
      </c>
      <c r="C65" s="249" t="s">
        <v>319</v>
      </c>
      <c r="D65" s="249" t="s">
        <v>552</v>
      </c>
      <c r="E65" s="249" t="s">
        <v>142</v>
      </c>
      <c r="F65" s="253">
        <v>4404176</v>
      </c>
      <c r="G65" s="253">
        <v>2867346</v>
      </c>
      <c r="H65" s="253">
        <v>1536830</v>
      </c>
      <c r="I65" s="252">
        <v>0</v>
      </c>
      <c r="N65" s="245" t="s">
        <v>685</v>
      </c>
    </row>
    <row r="66" spans="2:14" x14ac:dyDescent="0.35">
      <c r="B66" s="92" t="s">
        <v>320</v>
      </c>
      <c r="C66" s="249" t="s">
        <v>321</v>
      </c>
      <c r="D66" s="249" t="s">
        <v>552</v>
      </c>
      <c r="E66" s="249" t="s">
        <v>142</v>
      </c>
      <c r="F66" s="253">
        <v>87257</v>
      </c>
      <c r="G66" s="253">
        <v>0</v>
      </c>
      <c r="H66" s="253">
        <v>87257</v>
      </c>
      <c r="I66" s="252">
        <v>0</v>
      </c>
      <c r="N66" s="245" t="s">
        <v>67</v>
      </c>
    </row>
    <row r="67" spans="2:14" x14ac:dyDescent="0.35">
      <c r="B67" s="92" t="s">
        <v>795</v>
      </c>
      <c r="C67" s="249" t="s">
        <v>796</v>
      </c>
      <c r="D67" s="249" t="s">
        <v>551</v>
      </c>
      <c r="E67" s="249" t="s">
        <v>141</v>
      </c>
      <c r="F67" s="253">
        <v>0</v>
      </c>
      <c r="G67" s="253">
        <v>0</v>
      </c>
      <c r="H67" s="253">
        <v>0</v>
      </c>
      <c r="I67" s="252">
        <v>14883.617545435665</v>
      </c>
      <c r="J67" t="s">
        <v>818</v>
      </c>
      <c r="N67" s="245" t="s">
        <v>764</v>
      </c>
    </row>
    <row r="68" spans="2:14" x14ac:dyDescent="0.35">
      <c r="B68" s="92" t="s">
        <v>797</v>
      </c>
      <c r="C68" s="249" t="s">
        <v>798</v>
      </c>
      <c r="D68" s="249" t="s">
        <v>551</v>
      </c>
      <c r="E68" s="249" t="s">
        <v>141</v>
      </c>
      <c r="F68" s="253">
        <v>0</v>
      </c>
      <c r="G68" s="253">
        <v>0</v>
      </c>
      <c r="H68" s="253">
        <v>0</v>
      </c>
      <c r="I68" s="252">
        <v>32689.711602931697</v>
      </c>
      <c r="J68" t="s">
        <v>818</v>
      </c>
      <c r="N68" s="245" t="s">
        <v>765</v>
      </c>
    </row>
    <row r="69" spans="2:14" x14ac:dyDescent="0.35">
      <c r="B69" s="92" t="s">
        <v>322</v>
      </c>
      <c r="C69" s="249" t="s">
        <v>323</v>
      </c>
      <c r="D69" s="249" t="s">
        <v>551</v>
      </c>
      <c r="E69" s="249" t="s">
        <v>141</v>
      </c>
      <c r="F69" s="253">
        <v>146385044</v>
      </c>
      <c r="G69" s="253">
        <v>67712932</v>
      </c>
      <c r="H69" s="253">
        <v>78672112</v>
      </c>
      <c r="I69" s="252">
        <v>201261.76265004941</v>
      </c>
      <c r="N69" s="245" t="s">
        <v>686</v>
      </c>
    </row>
    <row r="70" spans="2:14" x14ac:dyDescent="0.35">
      <c r="B70" s="92" t="s">
        <v>799</v>
      </c>
      <c r="C70" s="249" t="s">
        <v>324</v>
      </c>
      <c r="D70" s="249" t="s">
        <v>551</v>
      </c>
      <c r="E70" s="249" t="s">
        <v>141</v>
      </c>
      <c r="F70" s="253">
        <v>0</v>
      </c>
      <c r="G70" s="253">
        <v>0</v>
      </c>
      <c r="H70" s="253">
        <v>0</v>
      </c>
      <c r="I70" s="252">
        <v>6286.3369295229359</v>
      </c>
      <c r="J70" t="s">
        <v>818</v>
      </c>
      <c r="N70" s="245" t="s">
        <v>68</v>
      </c>
    </row>
    <row r="71" spans="2:14" x14ac:dyDescent="0.35">
      <c r="B71" s="92" t="s">
        <v>800</v>
      </c>
      <c r="C71" s="249" t="s">
        <v>801</v>
      </c>
      <c r="D71" s="249" t="s">
        <v>551</v>
      </c>
      <c r="E71" s="249" t="s">
        <v>141</v>
      </c>
      <c r="F71" s="253">
        <v>0</v>
      </c>
      <c r="G71" s="253">
        <v>0</v>
      </c>
      <c r="H71" s="253">
        <v>0</v>
      </c>
      <c r="I71" s="252">
        <v>15960.91602205169</v>
      </c>
      <c r="J71" t="s">
        <v>823</v>
      </c>
      <c r="N71" s="245" t="s">
        <v>687</v>
      </c>
    </row>
    <row r="72" spans="2:14" x14ac:dyDescent="0.35">
      <c r="B72" s="92" t="s">
        <v>325</v>
      </c>
      <c r="C72" s="249" t="s">
        <v>326</v>
      </c>
      <c r="D72" s="249" t="s">
        <v>551</v>
      </c>
      <c r="E72" s="249" t="s">
        <v>141</v>
      </c>
      <c r="F72" s="253">
        <v>41680431</v>
      </c>
      <c r="G72" s="253">
        <v>1963594</v>
      </c>
      <c r="H72" s="253">
        <v>39716837</v>
      </c>
      <c r="I72" s="252">
        <v>58300.426557198931</v>
      </c>
      <c r="J72" t="s">
        <v>817</v>
      </c>
      <c r="N72" s="245" t="s">
        <v>190</v>
      </c>
    </row>
    <row r="73" spans="2:14" x14ac:dyDescent="0.35">
      <c r="B73" s="92" t="s">
        <v>15</v>
      </c>
      <c r="C73" s="249" t="s">
        <v>327</v>
      </c>
      <c r="D73" s="249" t="s">
        <v>551</v>
      </c>
      <c r="E73" s="249" t="s">
        <v>141</v>
      </c>
      <c r="F73" s="253">
        <v>34439114</v>
      </c>
      <c r="G73" s="253">
        <v>19243258</v>
      </c>
      <c r="H73" s="253">
        <v>15195856</v>
      </c>
      <c r="I73" s="252">
        <v>15861.3760474754</v>
      </c>
      <c r="J73" t="s">
        <v>817</v>
      </c>
      <c r="N73" s="245" t="s">
        <v>688</v>
      </c>
    </row>
    <row r="74" spans="2:14" x14ac:dyDescent="0.35">
      <c r="B74" s="92" t="s">
        <v>802</v>
      </c>
      <c r="C74" s="249" t="s">
        <v>328</v>
      </c>
      <c r="D74" s="249" t="s">
        <v>551</v>
      </c>
      <c r="E74" s="249" t="s">
        <v>141</v>
      </c>
      <c r="F74" s="253">
        <v>39269275</v>
      </c>
      <c r="G74" s="253">
        <v>18889546</v>
      </c>
      <c r="H74" s="253">
        <v>20379729</v>
      </c>
      <c r="I74" s="252">
        <v>61007.689434697197</v>
      </c>
      <c r="J74" t="s">
        <v>817</v>
      </c>
      <c r="N74" s="245" t="s">
        <v>69</v>
      </c>
    </row>
    <row r="75" spans="2:14" x14ac:dyDescent="0.35">
      <c r="B75" s="92" t="s">
        <v>329</v>
      </c>
      <c r="C75" s="249" t="s">
        <v>330</v>
      </c>
      <c r="D75" s="249" t="s">
        <v>551</v>
      </c>
      <c r="E75" s="249" t="s">
        <v>141</v>
      </c>
      <c r="F75" s="253">
        <v>103456003</v>
      </c>
      <c r="G75" s="253">
        <v>39490063</v>
      </c>
      <c r="H75" s="253">
        <v>63965940</v>
      </c>
      <c r="I75" s="252">
        <v>186518.66974676747</v>
      </c>
      <c r="N75" s="245" t="s">
        <v>689</v>
      </c>
    </row>
    <row r="76" spans="2:14" x14ac:dyDescent="0.35">
      <c r="B76" s="92" t="s">
        <v>803</v>
      </c>
      <c r="C76" s="249" t="s">
        <v>331</v>
      </c>
      <c r="D76" s="249" t="s">
        <v>551</v>
      </c>
      <c r="E76" s="249" t="s">
        <v>141</v>
      </c>
      <c r="F76" s="253">
        <v>0</v>
      </c>
      <c r="G76" s="253">
        <v>0</v>
      </c>
      <c r="H76" s="253">
        <v>0</v>
      </c>
      <c r="I76" s="252">
        <v>33830.120000000003</v>
      </c>
      <c r="J76" t="s">
        <v>818</v>
      </c>
      <c r="N76" s="245" t="s">
        <v>70</v>
      </c>
    </row>
    <row r="77" spans="2:14" x14ac:dyDescent="0.35">
      <c r="B77" s="92" t="s">
        <v>804</v>
      </c>
      <c r="C77" s="249" t="s">
        <v>332</v>
      </c>
      <c r="D77" s="249" t="s">
        <v>551</v>
      </c>
      <c r="E77" s="249" t="s">
        <v>141</v>
      </c>
      <c r="F77" s="253">
        <v>0</v>
      </c>
      <c r="G77" s="253">
        <v>0</v>
      </c>
      <c r="H77" s="253">
        <v>0</v>
      </c>
      <c r="I77" s="252">
        <v>7752.55</v>
      </c>
      <c r="J77" t="s">
        <v>818</v>
      </c>
      <c r="N77" s="245" t="s">
        <v>766</v>
      </c>
    </row>
    <row r="78" spans="2:14" x14ac:dyDescent="0.35">
      <c r="B78" s="92" t="s">
        <v>333</v>
      </c>
      <c r="C78" s="249" t="s">
        <v>334</v>
      </c>
      <c r="D78" s="249" t="s">
        <v>551</v>
      </c>
      <c r="E78" s="249" t="s">
        <v>141</v>
      </c>
      <c r="F78" s="253">
        <v>1066862</v>
      </c>
      <c r="G78" s="253">
        <v>833948</v>
      </c>
      <c r="H78" s="253">
        <v>232914</v>
      </c>
      <c r="I78" s="252">
        <v>905.39264887629997</v>
      </c>
      <c r="N78" s="245" t="s">
        <v>71</v>
      </c>
    </row>
    <row r="79" spans="2:14" x14ac:dyDescent="0.35">
      <c r="B79" s="92" t="s">
        <v>134</v>
      </c>
      <c r="C79" s="249" t="s">
        <v>137</v>
      </c>
      <c r="D79" s="249" t="s">
        <v>551</v>
      </c>
      <c r="E79" s="249" t="s">
        <v>141</v>
      </c>
      <c r="F79" s="253">
        <v>13363746</v>
      </c>
      <c r="G79" s="253">
        <v>6625481</v>
      </c>
      <c r="H79" s="253">
        <v>6738265</v>
      </c>
      <c r="I79" s="252">
        <v>15494.9666643694</v>
      </c>
      <c r="N79" s="245" t="s">
        <v>72</v>
      </c>
    </row>
    <row r="80" spans="2:14" x14ac:dyDescent="0.35">
      <c r="B80" s="92" t="s">
        <v>335</v>
      </c>
      <c r="C80" s="249" t="s">
        <v>336</v>
      </c>
      <c r="D80" s="249" t="s">
        <v>551</v>
      </c>
      <c r="E80" s="249" t="s">
        <v>141</v>
      </c>
      <c r="F80" s="253">
        <v>111285</v>
      </c>
      <c r="G80" s="253">
        <v>0</v>
      </c>
      <c r="H80" s="253">
        <v>111285</v>
      </c>
      <c r="I80" s="252">
        <v>0</v>
      </c>
      <c r="N80" s="245" t="s">
        <v>167</v>
      </c>
    </row>
    <row r="81" spans="2:14" x14ac:dyDescent="0.35">
      <c r="B81" s="92" t="s">
        <v>337</v>
      </c>
      <c r="C81" s="249" t="s">
        <v>338</v>
      </c>
      <c r="D81" s="249" t="s">
        <v>551</v>
      </c>
      <c r="E81" s="249" t="s">
        <v>141</v>
      </c>
      <c r="F81" s="253">
        <v>2053150</v>
      </c>
      <c r="G81" s="253">
        <v>413879</v>
      </c>
      <c r="H81" s="253">
        <v>1639271</v>
      </c>
      <c r="I81" s="252">
        <v>1040.4524528069101</v>
      </c>
      <c r="J81" t="s">
        <v>817</v>
      </c>
      <c r="N81" s="245" t="s">
        <v>690</v>
      </c>
    </row>
    <row r="82" spans="2:14" x14ac:dyDescent="0.35">
      <c r="B82" s="92" t="s">
        <v>339</v>
      </c>
      <c r="C82" s="249" t="s">
        <v>340</v>
      </c>
      <c r="D82" s="249" t="s">
        <v>551</v>
      </c>
      <c r="E82" s="249" t="s">
        <v>141</v>
      </c>
      <c r="F82" s="253">
        <v>0</v>
      </c>
      <c r="G82" s="253">
        <v>0</v>
      </c>
      <c r="H82" s="253">
        <v>0</v>
      </c>
      <c r="I82" s="252">
        <v>0</v>
      </c>
      <c r="N82" s="245" t="s">
        <v>168</v>
      </c>
    </row>
    <row r="83" spans="2:14" x14ac:dyDescent="0.35">
      <c r="B83" s="92" t="s">
        <v>341</v>
      </c>
      <c r="C83" s="249" t="s">
        <v>342</v>
      </c>
      <c r="D83" s="249" t="s">
        <v>551</v>
      </c>
      <c r="E83" s="249" t="s">
        <v>141</v>
      </c>
      <c r="F83" s="253">
        <v>8683107</v>
      </c>
      <c r="G83" s="253">
        <v>4483353</v>
      </c>
      <c r="H83" s="253">
        <v>4199754</v>
      </c>
      <c r="I83" s="252">
        <v>5687.7003084109001</v>
      </c>
      <c r="N83" s="245" t="s">
        <v>691</v>
      </c>
    </row>
    <row r="84" spans="2:14" x14ac:dyDescent="0.35">
      <c r="B84" s="92" t="s">
        <v>343</v>
      </c>
      <c r="C84" s="249" t="s">
        <v>805</v>
      </c>
      <c r="D84" s="249" t="s">
        <v>551</v>
      </c>
      <c r="E84" s="249" t="s">
        <v>141</v>
      </c>
      <c r="F84" s="253">
        <v>19070177</v>
      </c>
      <c r="G84" s="253">
        <v>7777745</v>
      </c>
      <c r="H84" s="253">
        <v>11292432</v>
      </c>
      <c r="I84" s="252">
        <v>22072.425094770701</v>
      </c>
      <c r="N84" s="245" t="s">
        <v>172</v>
      </c>
    </row>
    <row r="85" spans="2:14" x14ac:dyDescent="0.35">
      <c r="B85" s="92" t="s">
        <v>344</v>
      </c>
      <c r="C85" s="249" t="s">
        <v>345</v>
      </c>
      <c r="D85" s="249" t="s">
        <v>551</v>
      </c>
      <c r="E85" s="249" t="s">
        <v>141</v>
      </c>
      <c r="F85" s="253">
        <v>2699923</v>
      </c>
      <c r="G85" s="253">
        <v>204097</v>
      </c>
      <c r="H85" s="253">
        <v>2495826</v>
      </c>
      <c r="I85" s="252">
        <v>15604.0318186077</v>
      </c>
      <c r="N85" s="245" t="s">
        <v>73</v>
      </c>
    </row>
    <row r="86" spans="2:14" x14ac:dyDescent="0.35">
      <c r="B86" s="92" t="s">
        <v>346</v>
      </c>
      <c r="C86" s="249" t="s">
        <v>347</v>
      </c>
      <c r="D86" s="249" t="s">
        <v>552</v>
      </c>
      <c r="E86" s="249" t="s">
        <v>141</v>
      </c>
      <c r="F86" s="253">
        <v>1686733</v>
      </c>
      <c r="G86" s="253">
        <v>805896</v>
      </c>
      <c r="H86" s="253">
        <v>880837</v>
      </c>
      <c r="I86" s="252">
        <v>4798.5768553336902</v>
      </c>
      <c r="N86" s="245" t="s">
        <v>5</v>
      </c>
    </row>
    <row r="87" spans="2:14" x14ac:dyDescent="0.35">
      <c r="B87" s="92" t="s">
        <v>806</v>
      </c>
      <c r="C87" s="249" t="s">
        <v>807</v>
      </c>
      <c r="D87" s="249" t="s">
        <v>551</v>
      </c>
      <c r="E87" s="249" t="s">
        <v>141</v>
      </c>
      <c r="F87" s="253">
        <v>0</v>
      </c>
      <c r="G87" s="253">
        <v>0</v>
      </c>
      <c r="H87" s="253">
        <v>0</v>
      </c>
      <c r="I87" s="252">
        <v>0</v>
      </c>
      <c r="J87" t="s">
        <v>821</v>
      </c>
      <c r="N87" s="245" t="s">
        <v>74</v>
      </c>
    </row>
    <row r="88" spans="2:14" x14ac:dyDescent="0.35">
      <c r="B88" s="92" t="s">
        <v>348</v>
      </c>
      <c r="C88" s="249" t="s">
        <v>349</v>
      </c>
      <c r="D88" s="249" t="s">
        <v>552</v>
      </c>
      <c r="E88" s="249" t="s">
        <v>142</v>
      </c>
      <c r="F88" s="253">
        <v>8932341</v>
      </c>
      <c r="G88" s="253">
        <v>1682057</v>
      </c>
      <c r="H88" s="253">
        <v>7250284</v>
      </c>
      <c r="I88" s="252">
        <v>0</v>
      </c>
      <c r="J88" s="16"/>
      <c r="K88" s="16"/>
      <c r="N88" s="245" t="s">
        <v>767</v>
      </c>
    </row>
    <row r="89" spans="2:14" x14ac:dyDescent="0.35">
      <c r="B89" s="92" t="s">
        <v>350</v>
      </c>
      <c r="C89" s="249" t="s">
        <v>351</v>
      </c>
      <c r="D89" s="249" t="s">
        <v>551</v>
      </c>
      <c r="E89" s="249" t="s">
        <v>141</v>
      </c>
      <c r="F89" s="253">
        <v>1311221</v>
      </c>
      <c r="G89" s="253">
        <v>1188994</v>
      </c>
      <c r="H89" s="253">
        <v>122227</v>
      </c>
      <c r="I89" s="252">
        <v>0</v>
      </c>
      <c r="J89" s="16"/>
      <c r="K89" s="16"/>
      <c r="N89" s="245" t="s">
        <v>75</v>
      </c>
    </row>
    <row r="90" spans="2:14" x14ac:dyDescent="0.35">
      <c r="B90" s="92" t="s">
        <v>353</v>
      </c>
      <c r="C90" s="249" t="s">
        <v>354</v>
      </c>
      <c r="D90" s="249" t="s">
        <v>551</v>
      </c>
      <c r="E90" s="249" t="s">
        <v>141</v>
      </c>
      <c r="F90" s="253">
        <v>652314</v>
      </c>
      <c r="G90" s="253">
        <v>0</v>
      </c>
      <c r="H90" s="253">
        <v>652314</v>
      </c>
      <c r="I90" s="252">
        <v>761.83279991649999</v>
      </c>
      <c r="N90" s="245" t="s">
        <v>76</v>
      </c>
    </row>
    <row r="91" spans="2:14" x14ac:dyDescent="0.35">
      <c r="B91" s="92" t="s">
        <v>355</v>
      </c>
      <c r="C91" s="249" t="s">
        <v>356</v>
      </c>
      <c r="D91" s="249" t="s">
        <v>552</v>
      </c>
      <c r="E91" s="249" t="s">
        <v>142</v>
      </c>
      <c r="F91" s="253">
        <v>34192</v>
      </c>
      <c r="G91" s="253">
        <v>0</v>
      </c>
      <c r="H91" s="253">
        <v>34192</v>
      </c>
      <c r="I91" s="252">
        <v>0</v>
      </c>
      <c r="N91" s="245" t="s">
        <v>77</v>
      </c>
    </row>
    <row r="92" spans="2:14" x14ac:dyDescent="0.35">
      <c r="B92" s="92" t="s">
        <v>357</v>
      </c>
      <c r="C92" s="249" t="s">
        <v>358</v>
      </c>
      <c r="D92" s="249" t="s">
        <v>552</v>
      </c>
      <c r="E92" s="249" t="s">
        <v>141</v>
      </c>
      <c r="F92" s="253">
        <v>1218272</v>
      </c>
      <c r="G92" s="253">
        <v>991523</v>
      </c>
      <c r="H92" s="253">
        <v>226749</v>
      </c>
      <c r="I92" s="252">
        <v>0</v>
      </c>
      <c r="N92" s="245" t="s">
        <v>78</v>
      </c>
    </row>
    <row r="93" spans="2:14" x14ac:dyDescent="0.35">
      <c r="B93" s="92" t="s">
        <v>359</v>
      </c>
      <c r="C93" s="249" t="s">
        <v>808</v>
      </c>
      <c r="D93" s="249" t="s">
        <v>551</v>
      </c>
      <c r="E93" s="249" t="s">
        <v>141</v>
      </c>
      <c r="F93" s="253">
        <v>3683135</v>
      </c>
      <c r="G93" s="253">
        <v>3035419</v>
      </c>
      <c r="H93" s="253">
        <v>647716</v>
      </c>
      <c r="I93" s="252">
        <v>2291.5898825286999</v>
      </c>
      <c r="N93" s="245" t="s">
        <v>79</v>
      </c>
    </row>
    <row r="94" spans="2:14" x14ac:dyDescent="0.35">
      <c r="B94" s="92" t="s">
        <v>133</v>
      </c>
      <c r="C94" s="249" t="s">
        <v>138</v>
      </c>
      <c r="D94" s="249" t="s">
        <v>551</v>
      </c>
      <c r="E94" s="249" t="s">
        <v>141</v>
      </c>
      <c r="F94" s="253">
        <v>1372692</v>
      </c>
      <c r="G94" s="253">
        <v>223876</v>
      </c>
      <c r="H94" s="253">
        <v>1148816</v>
      </c>
      <c r="I94" s="252">
        <v>2964.6108717055999</v>
      </c>
      <c r="N94" s="245" t="s">
        <v>175</v>
      </c>
    </row>
    <row r="95" spans="2:14" x14ac:dyDescent="0.35">
      <c r="B95" s="92" t="s">
        <v>360</v>
      </c>
      <c r="C95" s="249" t="s">
        <v>361</v>
      </c>
      <c r="D95" s="249" t="s">
        <v>552</v>
      </c>
      <c r="E95" s="249" t="s">
        <v>142</v>
      </c>
      <c r="F95" s="253">
        <v>788907</v>
      </c>
      <c r="G95" s="253">
        <v>450865</v>
      </c>
      <c r="H95" s="253">
        <v>338042</v>
      </c>
      <c r="I95" s="252">
        <v>0</v>
      </c>
      <c r="N95" s="245" t="s">
        <v>6</v>
      </c>
    </row>
    <row r="96" spans="2:14" x14ac:dyDescent="0.35">
      <c r="B96" s="92" t="s">
        <v>362</v>
      </c>
      <c r="C96" s="249" t="s">
        <v>363</v>
      </c>
      <c r="D96" s="249" t="s">
        <v>551</v>
      </c>
      <c r="E96" s="249" t="s">
        <v>141</v>
      </c>
      <c r="F96" s="253">
        <v>1413417</v>
      </c>
      <c r="G96" s="253">
        <v>1020380</v>
      </c>
      <c r="H96" s="253">
        <v>393037</v>
      </c>
      <c r="I96" s="252">
        <v>2047.5163840014</v>
      </c>
      <c r="N96" s="245" t="s">
        <v>177</v>
      </c>
    </row>
    <row r="97" spans="2:14" x14ac:dyDescent="0.35">
      <c r="B97" s="92" t="s">
        <v>809</v>
      </c>
      <c r="C97" s="249" t="s">
        <v>364</v>
      </c>
      <c r="D97" s="249" t="s">
        <v>551</v>
      </c>
      <c r="E97" s="249" t="s">
        <v>141</v>
      </c>
      <c r="F97" s="253">
        <v>183737</v>
      </c>
      <c r="G97" s="253">
        <v>85000</v>
      </c>
      <c r="H97" s="253">
        <v>98737</v>
      </c>
      <c r="I97" s="252">
        <v>0</v>
      </c>
      <c r="J97" t="s">
        <v>819</v>
      </c>
      <c r="N97" s="245" t="s">
        <v>7</v>
      </c>
    </row>
    <row r="98" spans="2:14" x14ac:dyDescent="0.35">
      <c r="B98" s="92" t="s">
        <v>365</v>
      </c>
      <c r="C98" s="249" t="s">
        <v>660</v>
      </c>
      <c r="D98" s="249" t="s">
        <v>551</v>
      </c>
      <c r="E98" s="249" t="s">
        <v>141</v>
      </c>
      <c r="F98" s="253">
        <v>500233</v>
      </c>
      <c r="G98" s="253">
        <v>106615</v>
      </c>
      <c r="H98" s="253">
        <v>393618</v>
      </c>
      <c r="I98" s="252">
        <v>0</v>
      </c>
      <c r="N98" s="245" t="s">
        <v>692</v>
      </c>
    </row>
    <row r="99" spans="2:14" x14ac:dyDescent="0.35">
      <c r="B99" s="92" t="s">
        <v>366</v>
      </c>
      <c r="C99" s="249" t="s">
        <v>810</v>
      </c>
      <c r="D99" s="249" t="s">
        <v>552</v>
      </c>
      <c r="E99" s="249" t="s">
        <v>142</v>
      </c>
      <c r="F99" s="253">
        <v>2062134</v>
      </c>
      <c r="G99" s="253">
        <v>1625792</v>
      </c>
      <c r="H99" s="253">
        <v>436342</v>
      </c>
      <c r="I99" s="252">
        <v>0</v>
      </c>
      <c r="N99" s="245" t="s">
        <v>693</v>
      </c>
    </row>
    <row r="100" spans="2:14" x14ac:dyDescent="0.35">
      <c r="B100" s="92" t="s">
        <v>367</v>
      </c>
      <c r="C100" s="249" t="s">
        <v>368</v>
      </c>
      <c r="D100" s="249" t="s">
        <v>552</v>
      </c>
      <c r="E100" s="249" t="s">
        <v>142</v>
      </c>
      <c r="F100" s="253">
        <v>1231232</v>
      </c>
      <c r="G100" s="253">
        <v>681848</v>
      </c>
      <c r="H100" s="253">
        <v>549384</v>
      </c>
      <c r="I100" s="252">
        <v>0</v>
      </c>
      <c r="N100" s="245" t="s">
        <v>194</v>
      </c>
    </row>
    <row r="101" spans="2:14" x14ac:dyDescent="0.35">
      <c r="B101" s="92" t="s">
        <v>369</v>
      </c>
      <c r="C101" s="249" t="s">
        <v>370</v>
      </c>
      <c r="D101" s="249" t="s">
        <v>552</v>
      </c>
      <c r="E101" s="249" t="s">
        <v>142</v>
      </c>
      <c r="F101" s="253">
        <v>189024</v>
      </c>
      <c r="G101" s="253">
        <v>176218</v>
      </c>
      <c r="H101" s="253">
        <v>12806</v>
      </c>
      <c r="I101" s="252">
        <v>0</v>
      </c>
      <c r="N101" s="245" t="s">
        <v>768</v>
      </c>
    </row>
    <row r="102" spans="2:14" x14ac:dyDescent="0.35">
      <c r="B102" s="92" t="s">
        <v>371</v>
      </c>
      <c r="C102" s="249" t="s">
        <v>372</v>
      </c>
      <c r="D102" s="249" t="s">
        <v>551</v>
      </c>
      <c r="E102" s="249" t="s">
        <v>141</v>
      </c>
      <c r="F102" s="253">
        <v>59667</v>
      </c>
      <c r="G102" s="253">
        <v>0</v>
      </c>
      <c r="H102" s="253">
        <v>59667</v>
      </c>
      <c r="I102" s="252">
        <v>0</v>
      </c>
      <c r="N102" s="245" t="s">
        <v>80</v>
      </c>
    </row>
    <row r="103" spans="2:14" x14ac:dyDescent="0.35">
      <c r="B103" s="92" t="s">
        <v>373</v>
      </c>
      <c r="C103" s="249" t="s">
        <v>374</v>
      </c>
      <c r="D103" s="249" t="s">
        <v>551</v>
      </c>
      <c r="E103" s="249" t="s">
        <v>141</v>
      </c>
      <c r="F103" s="253">
        <v>2319862</v>
      </c>
      <c r="G103" s="253">
        <v>1056853</v>
      </c>
      <c r="H103" s="253">
        <v>1263009</v>
      </c>
      <c r="I103" s="252">
        <v>1363.2914175699</v>
      </c>
      <c r="N103" s="245" t="s">
        <v>81</v>
      </c>
    </row>
    <row r="104" spans="2:14" x14ac:dyDescent="0.35">
      <c r="B104" s="92" t="s">
        <v>375</v>
      </c>
      <c r="C104" s="249" t="s">
        <v>376</v>
      </c>
      <c r="D104" s="249" t="s">
        <v>551</v>
      </c>
      <c r="E104" s="249" t="s">
        <v>141</v>
      </c>
      <c r="F104" s="253">
        <v>1429222</v>
      </c>
      <c r="G104" s="253">
        <v>1086682</v>
      </c>
      <c r="H104" s="253">
        <v>342540</v>
      </c>
      <c r="I104" s="252">
        <v>1171.6854165602301</v>
      </c>
      <c r="N104" s="245" t="s">
        <v>179</v>
      </c>
    </row>
    <row r="105" spans="2:14" x14ac:dyDescent="0.35">
      <c r="B105" s="92" t="s">
        <v>377</v>
      </c>
      <c r="C105" s="249" t="s">
        <v>378</v>
      </c>
      <c r="D105" s="249" t="s">
        <v>551</v>
      </c>
      <c r="E105" s="249" t="s">
        <v>141</v>
      </c>
      <c r="F105" s="253">
        <v>519548</v>
      </c>
      <c r="G105" s="253">
        <v>0</v>
      </c>
      <c r="H105" s="253">
        <v>519548</v>
      </c>
      <c r="I105" s="252">
        <v>0</v>
      </c>
      <c r="N105" s="245" t="s">
        <v>769</v>
      </c>
    </row>
    <row r="106" spans="2:14" x14ac:dyDescent="0.35">
      <c r="B106" s="92" t="s">
        <v>379</v>
      </c>
      <c r="C106" s="249" t="s">
        <v>380</v>
      </c>
      <c r="D106" s="249" t="s">
        <v>551</v>
      </c>
      <c r="E106" s="249" t="s">
        <v>141</v>
      </c>
      <c r="F106" s="253">
        <v>408616</v>
      </c>
      <c r="G106" s="253">
        <v>0</v>
      </c>
      <c r="H106" s="253">
        <v>408616</v>
      </c>
      <c r="I106" s="252">
        <v>1049.7181168942</v>
      </c>
      <c r="N106" s="245" t="s">
        <v>82</v>
      </c>
    </row>
    <row r="107" spans="2:14" x14ac:dyDescent="0.35">
      <c r="B107" s="92" t="s">
        <v>381</v>
      </c>
      <c r="C107" s="249" t="s">
        <v>382</v>
      </c>
      <c r="D107" s="249" t="s">
        <v>551</v>
      </c>
      <c r="E107" s="249" t="s">
        <v>141</v>
      </c>
      <c r="F107" s="253">
        <v>1256485</v>
      </c>
      <c r="G107" s="253">
        <v>181453</v>
      </c>
      <c r="H107" s="253">
        <v>1075032</v>
      </c>
      <c r="I107" s="252">
        <v>1737.9259759121001</v>
      </c>
      <c r="N107" s="245" t="s">
        <v>83</v>
      </c>
    </row>
    <row r="108" spans="2:14" x14ac:dyDescent="0.35">
      <c r="B108" s="92" t="s">
        <v>383</v>
      </c>
      <c r="C108" s="249" t="s">
        <v>384</v>
      </c>
      <c r="D108" s="249" t="s">
        <v>551</v>
      </c>
      <c r="E108" s="249" t="s">
        <v>141</v>
      </c>
      <c r="F108" s="253">
        <v>70592</v>
      </c>
      <c r="G108" s="253">
        <v>60289</v>
      </c>
      <c r="H108" s="253">
        <v>10303</v>
      </c>
      <c r="I108" s="252">
        <v>0</v>
      </c>
      <c r="N108" s="245" t="s">
        <v>770</v>
      </c>
    </row>
    <row r="109" spans="2:14" x14ac:dyDescent="0.35">
      <c r="B109" s="92" t="s">
        <v>385</v>
      </c>
      <c r="C109" s="249" t="s">
        <v>386</v>
      </c>
      <c r="D109" s="249" t="s">
        <v>552</v>
      </c>
      <c r="E109" s="249" t="s">
        <v>141</v>
      </c>
      <c r="F109" s="253">
        <v>66887314</v>
      </c>
      <c r="G109" s="253">
        <v>7472904</v>
      </c>
      <c r="H109" s="253">
        <v>59414410</v>
      </c>
      <c r="I109" s="252">
        <v>76561.971912629058</v>
      </c>
      <c r="N109" s="245" t="s">
        <v>84</v>
      </c>
    </row>
    <row r="110" spans="2:14" x14ac:dyDescent="0.35">
      <c r="B110" s="92" t="s">
        <v>811</v>
      </c>
      <c r="C110" s="249" t="s">
        <v>812</v>
      </c>
      <c r="D110" s="249" t="s">
        <v>551</v>
      </c>
      <c r="E110" s="249" t="s">
        <v>141</v>
      </c>
      <c r="F110" s="253">
        <v>0</v>
      </c>
      <c r="G110" s="253">
        <v>0</v>
      </c>
      <c r="H110" s="253">
        <v>0</v>
      </c>
      <c r="I110" s="252">
        <v>0</v>
      </c>
      <c r="J110" t="s">
        <v>820</v>
      </c>
      <c r="N110" s="245" t="s">
        <v>694</v>
      </c>
    </row>
    <row r="111" spans="2:14" x14ac:dyDescent="0.35">
      <c r="B111" s="92" t="s">
        <v>387</v>
      </c>
      <c r="C111" s="249" t="s">
        <v>388</v>
      </c>
      <c r="D111" s="249" t="s">
        <v>551</v>
      </c>
      <c r="E111" s="249" t="s">
        <v>141</v>
      </c>
      <c r="F111" s="253">
        <v>2486</v>
      </c>
      <c r="G111" s="253">
        <v>0</v>
      </c>
      <c r="H111" s="253">
        <v>2486</v>
      </c>
      <c r="I111" s="252">
        <v>0</v>
      </c>
      <c r="N111" s="245" t="s">
        <v>695</v>
      </c>
    </row>
    <row r="112" spans="2:14" x14ac:dyDescent="0.35">
      <c r="B112" s="92" t="s">
        <v>389</v>
      </c>
      <c r="C112" s="249" t="s">
        <v>390</v>
      </c>
      <c r="D112" s="249" t="s">
        <v>552</v>
      </c>
      <c r="E112" s="249" t="s">
        <v>142</v>
      </c>
      <c r="F112" s="253">
        <v>122953</v>
      </c>
      <c r="G112" s="253">
        <v>86779</v>
      </c>
      <c r="H112" s="253">
        <v>36174</v>
      </c>
      <c r="I112" s="252">
        <v>0</v>
      </c>
      <c r="N112" s="245" t="s">
        <v>85</v>
      </c>
    </row>
    <row r="113" spans="2:14" x14ac:dyDescent="0.35">
      <c r="B113" s="92" t="s">
        <v>391</v>
      </c>
      <c r="C113" s="249" t="s">
        <v>392</v>
      </c>
      <c r="D113" s="249" t="s">
        <v>552</v>
      </c>
      <c r="E113" s="249" t="s">
        <v>141</v>
      </c>
      <c r="F113" s="253">
        <v>285436</v>
      </c>
      <c r="G113" s="253">
        <v>120390</v>
      </c>
      <c r="H113" s="253">
        <v>165046</v>
      </c>
      <c r="I113" s="252">
        <v>883.90343723682008</v>
      </c>
      <c r="N113" s="245" t="s">
        <v>86</v>
      </c>
    </row>
    <row r="114" spans="2:14" x14ac:dyDescent="0.35">
      <c r="B114" s="92" t="s">
        <v>393</v>
      </c>
      <c r="C114" s="249" t="s">
        <v>394</v>
      </c>
      <c r="D114" s="249" t="s">
        <v>551</v>
      </c>
      <c r="E114" s="249" t="s">
        <v>141</v>
      </c>
      <c r="F114" s="253">
        <v>385184</v>
      </c>
      <c r="G114" s="253">
        <v>291709</v>
      </c>
      <c r="H114" s="253">
        <v>93475</v>
      </c>
      <c r="I114" s="252">
        <v>0</v>
      </c>
      <c r="N114" s="245" t="s">
        <v>771</v>
      </c>
    </row>
    <row r="115" spans="2:14" x14ac:dyDescent="0.35">
      <c r="B115" s="92" t="s">
        <v>395</v>
      </c>
      <c r="C115" s="249" t="s">
        <v>396</v>
      </c>
      <c r="D115" s="249" t="s">
        <v>551</v>
      </c>
      <c r="E115" s="249" t="s">
        <v>141</v>
      </c>
      <c r="F115" s="253">
        <v>8479</v>
      </c>
      <c r="G115" s="253">
        <v>1911</v>
      </c>
      <c r="H115" s="253">
        <v>6568</v>
      </c>
      <c r="I115" s="252">
        <v>0</v>
      </c>
      <c r="N115" s="245" t="s">
        <v>661</v>
      </c>
    </row>
    <row r="116" spans="2:14" x14ac:dyDescent="0.35">
      <c r="B116" s="92" t="s">
        <v>397</v>
      </c>
      <c r="C116" s="249" t="s">
        <v>398</v>
      </c>
      <c r="D116" s="249" t="s">
        <v>552</v>
      </c>
      <c r="E116" s="249" t="s">
        <v>142</v>
      </c>
      <c r="F116" s="253">
        <v>1320958</v>
      </c>
      <c r="G116" s="253">
        <v>909534</v>
      </c>
      <c r="H116" s="253">
        <v>411424</v>
      </c>
      <c r="I116" s="252">
        <v>0</v>
      </c>
      <c r="N116" s="245" t="s">
        <v>696</v>
      </c>
    </row>
    <row r="117" spans="2:14" x14ac:dyDescent="0.35">
      <c r="B117" s="92" t="s">
        <v>399</v>
      </c>
      <c r="C117" s="249" t="s">
        <v>400</v>
      </c>
      <c r="D117" s="249" t="s">
        <v>551</v>
      </c>
      <c r="E117" s="249" t="s">
        <v>141</v>
      </c>
      <c r="F117" s="253">
        <v>9086255</v>
      </c>
      <c r="G117" s="253">
        <v>5281450</v>
      </c>
      <c r="H117" s="253">
        <v>3804805</v>
      </c>
      <c r="I117" s="252">
        <v>3234.0334733641998</v>
      </c>
      <c r="N117" s="245" t="s">
        <v>772</v>
      </c>
    </row>
    <row r="118" spans="2:14" x14ac:dyDescent="0.35">
      <c r="B118" s="92" t="s">
        <v>401</v>
      </c>
      <c r="C118" s="249" t="s">
        <v>402</v>
      </c>
      <c r="D118" s="249" t="s">
        <v>552</v>
      </c>
      <c r="E118" s="249" t="s">
        <v>141</v>
      </c>
      <c r="F118" s="253">
        <v>264597</v>
      </c>
      <c r="G118" s="253">
        <v>180572</v>
      </c>
      <c r="H118" s="253">
        <v>84025</v>
      </c>
      <c r="I118" s="252">
        <v>594.93202896139996</v>
      </c>
      <c r="N118" s="245" t="s">
        <v>8</v>
      </c>
    </row>
    <row r="119" spans="2:14" x14ac:dyDescent="0.35">
      <c r="B119" s="92" t="s">
        <v>403</v>
      </c>
      <c r="C119" s="249" t="s">
        <v>404</v>
      </c>
      <c r="D119" s="249" t="s">
        <v>551</v>
      </c>
      <c r="E119" s="249" t="s">
        <v>141</v>
      </c>
      <c r="F119" s="253">
        <v>98600</v>
      </c>
      <c r="G119" s="253">
        <v>0</v>
      </c>
      <c r="H119" s="253">
        <v>98600</v>
      </c>
      <c r="I119" s="252">
        <v>0</v>
      </c>
      <c r="N119" s="245" t="s">
        <v>88</v>
      </c>
    </row>
    <row r="120" spans="2:14" x14ac:dyDescent="0.35">
      <c r="B120" s="92" t="s">
        <v>405</v>
      </c>
      <c r="C120" s="249" t="s">
        <v>406</v>
      </c>
      <c r="D120" s="249" t="s">
        <v>552</v>
      </c>
      <c r="E120" s="249" t="s">
        <v>142</v>
      </c>
      <c r="F120" s="253">
        <v>196373</v>
      </c>
      <c r="G120" s="253">
        <v>170964</v>
      </c>
      <c r="H120" s="253">
        <v>25409</v>
      </c>
      <c r="I120" s="252">
        <v>0</v>
      </c>
      <c r="N120" s="245" t="s">
        <v>697</v>
      </c>
    </row>
    <row r="121" spans="2:14" x14ac:dyDescent="0.35">
      <c r="B121" s="92" t="s">
        <v>407</v>
      </c>
      <c r="C121" s="249" t="s">
        <v>408</v>
      </c>
      <c r="D121" s="249" t="s">
        <v>551</v>
      </c>
      <c r="E121" s="249" t="s">
        <v>141</v>
      </c>
      <c r="F121" s="253">
        <v>1203526</v>
      </c>
      <c r="G121" s="253">
        <v>983831</v>
      </c>
      <c r="H121" s="253">
        <v>219695</v>
      </c>
      <c r="I121" s="252">
        <v>0</v>
      </c>
      <c r="N121" s="245" t="s">
        <v>773</v>
      </c>
    </row>
    <row r="122" spans="2:14" x14ac:dyDescent="0.35">
      <c r="B122" s="92" t="s">
        <v>409</v>
      </c>
      <c r="C122" s="249" t="s">
        <v>410</v>
      </c>
      <c r="D122" s="249" t="s">
        <v>552</v>
      </c>
      <c r="E122" s="249" t="s">
        <v>142</v>
      </c>
      <c r="F122" s="253">
        <v>984</v>
      </c>
      <c r="G122" s="253">
        <v>0</v>
      </c>
      <c r="H122" s="253">
        <v>984</v>
      </c>
      <c r="I122" s="252">
        <v>0</v>
      </c>
      <c r="N122" s="245" t="s">
        <v>198</v>
      </c>
    </row>
    <row r="123" spans="2:14" x14ac:dyDescent="0.35">
      <c r="B123" s="92" t="s">
        <v>411</v>
      </c>
      <c r="C123" s="249" t="s">
        <v>412</v>
      </c>
      <c r="D123" s="249" t="s">
        <v>552</v>
      </c>
      <c r="E123" s="249" t="s">
        <v>142</v>
      </c>
      <c r="F123" s="253">
        <v>129332</v>
      </c>
      <c r="G123" s="253">
        <v>62668</v>
      </c>
      <c r="H123" s="253">
        <v>66664</v>
      </c>
      <c r="I123" s="252">
        <v>0</v>
      </c>
      <c r="N123" s="245" t="s">
        <v>698</v>
      </c>
    </row>
    <row r="124" spans="2:14" x14ac:dyDescent="0.35">
      <c r="B124" s="92" t="s">
        <v>413</v>
      </c>
      <c r="C124" s="249" t="s">
        <v>414</v>
      </c>
      <c r="D124" s="249" t="s">
        <v>551</v>
      </c>
      <c r="E124" s="249" t="s">
        <v>141</v>
      </c>
      <c r="F124" s="253">
        <v>2830786</v>
      </c>
      <c r="G124" s="253">
        <v>2296927</v>
      </c>
      <c r="H124" s="253">
        <v>533859</v>
      </c>
      <c r="I124" s="252">
        <v>1232.2827007101</v>
      </c>
      <c r="N124" s="245" t="s">
        <v>699</v>
      </c>
    </row>
    <row r="125" spans="2:14" x14ac:dyDescent="0.35">
      <c r="B125" s="92" t="s">
        <v>415</v>
      </c>
      <c r="C125" s="249" t="s">
        <v>416</v>
      </c>
      <c r="D125" s="249" t="s">
        <v>551</v>
      </c>
      <c r="E125" s="249" t="s">
        <v>141</v>
      </c>
      <c r="F125" s="253">
        <v>2487</v>
      </c>
      <c r="G125" s="253">
        <v>0</v>
      </c>
      <c r="H125" s="253">
        <v>2487</v>
      </c>
      <c r="I125" s="252">
        <v>0</v>
      </c>
      <c r="J125" t="s">
        <v>824</v>
      </c>
      <c r="N125" s="245" t="s">
        <v>89</v>
      </c>
    </row>
    <row r="126" spans="2:14" x14ac:dyDescent="0.35">
      <c r="B126" s="92" t="s">
        <v>816</v>
      </c>
      <c r="C126" s="249" t="s">
        <v>417</v>
      </c>
      <c r="D126" s="249" t="s">
        <v>552</v>
      </c>
      <c r="E126" s="249" t="s">
        <v>142</v>
      </c>
      <c r="F126" s="253">
        <v>1514343</v>
      </c>
      <c r="G126" s="253">
        <v>724811</v>
      </c>
      <c r="H126" s="253">
        <v>789532</v>
      </c>
      <c r="I126" s="252">
        <v>0</v>
      </c>
      <c r="N126" s="245" t="s">
        <v>90</v>
      </c>
    </row>
    <row r="127" spans="2:14" x14ac:dyDescent="0.35">
      <c r="B127" s="92" t="s">
        <v>418</v>
      </c>
      <c r="C127" s="249" t="s">
        <v>813</v>
      </c>
      <c r="D127" s="249" t="s">
        <v>552</v>
      </c>
      <c r="E127" s="249" t="s">
        <v>142</v>
      </c>
      <c r="F127" s="253">
        <v>8441765</v>
      </c>
      <c r="G127" s="253">
        <v>5669178</v>
      </c>
      <c r="H127" s="253">
        <v>2772587</v>
      </c>
      <c r="I127" s="252">
        <v>0</v>
      </c>
      <c r="N127" s="245" t="s">
        <v>91</v>
      </c>
    </row>
    <row r="128" spans="2:14" x14ac:dyDescent="0.35">
      <c r="B128" s="92" t="s">
        <v>16</v>
      </c>
      <c r="C128" s="249" t="s">
        <v>419</v>
      </c>
      <c r="D128" s="249" t="s">
        <v>551</v>
      </c>
      <c r="E128" s="249" t="s">
        <v>141</v>
      </c>
      <c r="F128" s="253">
        <v>75601</v>
      </c>
      <c r="G128" s="253">
        <v>0</v>
      </c>
      <c r="H128" s="253">
        <v>75601</v>
      </c>
      <c r="I128" s="252">
        <v>0</v>
      </c>
      <c r="N128" s="245" t="s">
        <v>174</v>
      </c>
    </row>
    <row r="129" spans="2:14" x14ac:dyDescent="0.35">
      <c r="B129" s="92" t="s">
        <v>420</v>
      </c>
      <c r="C129" s="249" t="s">
        <v>421</v>
      </c>
      <c r="D129" s="249" t="s">
        <v>551</v>
      </c>
      <c r="E129" s="249" t="s">
        <v>141</v>
      </c>
      <c r="F129" s="253">
        <v>15667</v>
      </c>
      <c r="G129" s="253">
        <v>0</v>
      </c>
      <c r="H129" s="253">
        <v>15667</v>
      </c>
      <c r="I129" s="252">
        <v>0</v>
      </c>
      <c r="N129" s="245" t="s">
        <v>774</v>
      </c>
    </row>
    <row r="130" spans="2:14" x14ac:dyDescent="0.35">
      <c r="B130" s="92" t="s">
        <v>815</v>
      </c>
      <c r="C130" s="249" t="s">
        <v>422</v>
      </c>
      <c r="D130" s="249" t="s">
        <v>551</v>
      </c>
      <c r="E130" s="249" t="s">
        <v>141</v>
      </c>
      <c r="F130" s="253">
        <v>27898</v>
      </c>
      <c r="G130" s="253">
        <v>0</v>
      </c>
      <c r="H130" s="253">
        <v>27898</v>
      </c>
      <c r="I130" s="252">
        <v>0</v>
      </c>
      <c r="N130" s="245" t="s">
        <v>92</v>
      </c>
    </row>
    <row r="131" spans="2:14" x14ac:dyDescent="0.35">
      <c r="B131" s="92" t="s">
        <v>423</v>
      </c>
      <c r="C131" s="249" t="s">
        <v>424</v>
      </c>
      <c r="D131" s="249" t="s">
        <v>551</v>
      </c>
      <c r="E131" s="249" t="s">
        <v>141</v>
      </c>
      <c r="F131" s="253">
        <v>2308702</v>
      </c>
      <c r="G131" s="253">
        <v>1276275</v>
      </c>
      <c r="H131" s="253">
        <v>1032427</v>
      </c>
      <c r="I131" s="252">
        <v>1974.5859390789999</v>
      </c>
      <c r="N131" s="245" t="s">
        <v>775</v>
      </c>
    </row>
    <row r="132" spans="2:14" x14ac:dyDescent="0.35">
      <c r="B132" s="92" t="s">
        <v>425</v>
      </c>
      <c r="C132" s="249" t="s">
        <v>426</v>
      </c>
      <c r="D132" s="249" t="s">
        <v>551</v>
      </c>
      <c r="E132" s="249" t="s">
        <v>141</v>
      </c>
      <c r="F132" s="253">
        <v>930463</v>
      </c>
      <c r="G132" s="253">
        <v>785388</v>
      </c>
      <c r="H132" s="253">
        <v>145075</v>
      </c>
      <c r="I132" s="252">
        <v>0</v>
      </c>
      <c r="N132" s="245" t="s">
        <v>93</v>
      </c>
    </row>
    <row r="133" spans="2:14" x14ac:dyDescent="0.35">
      <c r="B133" s="92" t="s">
        <v>427</v>
      </c>
      <c r="C133" s="249" t="s">
        <v>428</v>
      </c>
      <c r="D133" s="249" t="s">
        <v>551</v>
      </c>
      <c r="E133" s="249" t="s">
        <v>141</v>
      </c>
      <c r="F133" s="253">
        <v>25820</v>
      </c>
      <c r="G133" s="253">
        <v>0</v>
      </c>
      <c r="H133" s="253">
        <v>25820</v>
      </c>
      <c r="I133" s="252">
        <v>0</v>
      </c>
      <c r="N133" s="245" t="s">
        <v>776</v>
      </c>
    </row>
    <row r="134" spans="2:14" x14ac:dyDescent="0.35">
      <c r="B134" s="92" t="s">
        <v>814</v>
      </c>
      <c r="C134" s="249" t="s">
        <v>352</v>
      </c>
      <c r="D134" s="249" t="s">
        <v>551</v>
      </c>
      <c r="E134" s="249" t="s">
        <v>141</v>
      </c>
      <c r="F134" s="253">
        <v>0</v>
      </c>
      <c r="G134" s="253">
        <v>0</v>
      </c>
      <c r="H134" s="253">
        <v>0</v>
      </c>
      <c r="I134" s="252">
        <v>15239.01</v>
      </c>
      <c r="J134" t="s">
        <v>822</v>
      </c>
      <c r="N134" s="245" t="s">
        <v>94</v>
      </c>
    </row>
    <row r="135" spans="2:14" x14ac:dyDescent="0.35">
      <c r="B135" s="92" t="s">
        <v>429</v>
      </c>
      <c r="C135" s="249" t="s">
        <v>430</v>
      </c>
      <c r="D135" s="249" t="s">
        <v>551</v>
      </c>
      <c r="E135" s="249" t="s">
        <v>141</v>
      </c>
      <c r="F135" s="253">
        <v>878548</v>
      </c>
      <c r="G135" s="253">
        <v>863219</v>
      </c>
      <c r="H135" s="253">
        <v>15329</v>
      </c>
      <c r="I135" s="252">
        <v>0</v>
      </c>
      <c r="N135" s="245" t="s">
        <v>95</v>
      </c>
    </row>
    <row r="136" spans="2:14" x14ac:dyDescent="0.35">
      <c r="B136" s="92" t="s">
        <v>431</v>
      </c>
      <c r="C136" s="249" t="s">
        <v>432</v>
      </c>
      <c r="D136" s="249" t="s">
        <v>551</v>
      </c>
      <c r="E136" s="249" t="s">
        <v>141</v>
      </c>
      <c r="F136" s="253">
        <v>130692</v>
      </c>
      <c r="G136" s="253">
        <v>0</v>
      </c>
      <c r="H136" s="253">
        <v>130692</v>
      </c>
      <c r="I136" s="252">
        <v>0</v>
      </c>
      <c r="N136" s="245" t="s">
        <v>700</v>
      </c>
    </row>
    <row r="137" spans="2:14" x14ac:dyDescent="0.35">
      <c r="B137" s="92" t="s">
        <v>433</v>
      </c>
      <c r="C137" s="249" t="s">
        <v>434</v>
      </c>
      <c r="D137" s="249" t="s">
        <v>551</v>
      </c>
      <c r="E137" s="249" t="s">
        <v>141</v>
      </c>
      <c r="F137" s="253">
        <v>2663287</v>
      </c>
      <c r="G137" s="253">
        <v>0</v>
      </c>
      <c r="H137" s="253">
        <v>2663287</v>
      </c>
      <c r="I137" s="252">
        <v>0</v>
      </c>
      <c r="N137" s="245" t="s">
        <v>701</v>
      </c>
    </row>
    <row r="138" spans="2:14" x14ac:dyDescent="0.35">
      <c r="B138" s="92" t="s">
        <v>435</v>
      </c>
      <c r="C138" s="249" t="s">
        <v>436</v>
      </c>
      <c r="D138" s="249" t="s">
        <v>552</v>
      </c>
      <c r="E138" s="249" t="s">
        <v>142</v>
      </c>
      <c r="F138" s="253">
        <v>25718</v>
      </c>
      <c r="G138" s="253">
        <v>0</v>
      </c>
      <c r="H138" s="253">
        <v>25718</v>
      </c>
      <c r="I138" s="252">
        <v>0</v>
      </c>
      <c r="N138" s="245" t="s">
        <v>702</v>
      </c>
    </row>
    <row r="139" spans="2:14" x14ac:dyDescent="0.35">
      <c r="B139" s="92" t="s">
        <v>437</v>
      </c>
      <c r="C139" s="249" t="s">
        <v>438</v>
      </c>
      <c r="D139" s="249" t="s">
        <v>551</v>
      </c>
      <c r="E139" s="249" t="s">
        <v>141</v>
      </c>
      <c r="F139" s="253">
        <v>42038</v>
      </c>
      <c r="G139" s="253">
        <v>0</v>
      </c>
      <c r="H139" s="253">
        <v>42038</v>
      </c>
      <c r="I139" s="252">
        <v>0</v>
      </c>
      <c r="N139" s="245" t="s">
        <v>196</v>
      </c>
    </row>
    <row r="140" spans="2:14" x14ac:dyDescent="0.35">
      <c r="B140" s="92" t="s">
        <v>439</v>
      </c>
      <c r="C140" s="249" t="s">
        <v>440</v>
      </c>
      <c r="D140" s="249" t="s">
        <v>551</v>
      </c>
      <c r="E140" s="249" t="s">
        <v>141</v>
      </c>
      <c r="F140" s="253">
        <v>7140</v>
      </c>
      <c r="G140" s="253">
        <v>0</v>
      </c>
      <c r="H140" s="253">
        <v>7140</v>
      </c>
      <c r="I140" s="252">
        <v>0</v>
      </c>
      <c r="N140" s="245" t="s">
        <v>14</v>
      </c>
    </row>
    <row r="141" spans="2:14" x14ac:dyDescent="0.35">
      <c r="B141" s="92" t="s">
        <v>441</v>
      </c>
      <c r="C141" s="249" t="s">
        <v>442</v>
      </c>
      <c r="D141" s="249" t="s">
        <v>551</v>
      </c>
      <c r="E141" s="249" t="s">
        <v>141</v>
      </c>
      <c r="F141" s="253">
        <v>21418</v>
      </c>
      <c r="G141" s="253">
        <v>0</v>
      </c>
      <c r="H141" s="253">
        <v>21418</v>
      </c>
      <c r="I141" s="252">
        <v>0</v>
      </c>
      <c r="N141" s="245" t="s">
        <v>777</v>
      </c>
    </row>
    <row r="142" spans="2:14" x14ac:dyDescent="0.35">
      <c r="B142" s="92" t="s">
        <v>443</v>
      </c>
      <c r="C142" s="249" t="s">
        <v>444</v>
      </c>
      <c r="D142" s="249" t="s">
        <v>551</v>
      </c>
      <c r="E142" s="249" t="s">
        <v>141</v>
      </c>
      <c r="F142" s="253">
        <v>4186342</v>
      </c>
      <c r="G142" s="253">
        <v>2507330</v>
      </c>
      <c r="H142" s="253">
        <v>1679012</v>
      </c>
      <c r="I142" s="252">
        <v>2007.1226571929001</v>
      </c>
      <c r="N142" s="245" t="s">
        <v>703</v>
      </c>
    </row>
    <row r="143" spans="2:14" x14ac:dyDescent="0.35">
      <c r="B143" s="92" t="s">
        <v>445</v>
      </c>
      <c r="C143" s="249" t="s">
        <v>446</v>
      </c>
      <c r="D143" s="249" t="s">
        <v>552</v>
      </c>
      <c r="E143" s="249" t="s">
        <v>141</v>
      </c>
      <c r="F143" s="253">
        <v>828719</v>
      </c>
      <c r="G143" s="253">
        <v>0</v>
      </c>
      <c r="H143" s="253">
        <v>828719</v>
      </c>
      <c r="I143" s="252">
        <v>2477.0198898030299</v>
      </c>
      <c r="N143" s="245" t="s">
        <v>704</v>
      </c>
    </row>
    <row r="144" spans="2:14" x14ac:dyDescent="0.35">
      <c r="B144" s="92" t="s">
        <v>447</v>
      </c>
      <c r="C144" s="249" t="s">
        <v>448</v>
      </c>
      <c r="D144" s="249" t="s">
        <v>552</v>
      </c>
      <c r="E144" s="249" t="s">
        <v>142</v>
      </c>
      <c r="F144" s="253">
        <v>3803055</v>
      </c>
      <c r="G144" s="253">
        <v>2253778</v>
      </c>
      <c r="H144" s="253">
        <v>1549277</v>
      </c>
      <c r="I144" s="252">
        <v>0</v>
      </c>
      <c r="N144" s="245" t="s">
        <v>778</v>
      </c>
    </row>
    <row r="145" spans="2:14" x14ac:dyDescent="0.35">
      <c r="B145" s="92" t="s">
        <v>449</v>
      </c>
      <c r="C145" s="249" t="s">
        <v>450</v>
      </c>
      <c r="D145" s="249" t="s">
        <v>552</v>
      </c>
      <c r="E145" s="249" t="s">
        <v>142</v>
      </c>
      <c r="F145" s="253">
        <v>1062</v>
      </c>
      <c r="G145" s="253">
        <v>0</v>
      </c>
      <c r="H145" s="253">
        <v>1062</v>
      </c>
      <c r="I145" s="252">
        <v>0</v>
      </c>
      <c r="N145" s="245" t="s">
        <v>705</v>
      </c>
    </row>
    <row r="146" spans="2:14" x14ac:dyDescent="0.35">
      <c r="B146" s="92" t="s">
        <v>451</v>
      </c>
      <c r="C146" s="249" t="s">
        <v>452</v>
      </c>
      <c r="D146" s="249" t="s">
        <v>552</v>
      </c>
      <c r="E146" s="249" t="s">
        <v>142</v>
      </c>
      <c r="F146" s="253">
        <v>0</v>
      </c>
      <c r="G146" s="253">
        <v>0</v>
      </c>
      <c r="H146" s="253">
        <v>0</v>
      </c>
      <c r="I146" s="252">
        <v>0</v>
      </c>
      <c r="N146" s="245" t="s">
        <v>706</v>
      </c>
    </row>
    <row r="147" spans="2:14" x14ac:dyDescent="0.35">
      <c r="B147" s="92" t="s">
        <v>453</v>
      </c>
      <c r="C147" s="249" t="s">
        <v>454</v>
      </c>
      <c r="D147" s="249" t="s">
        <v>551</v>
      </c>
      <c r="E147" s="249" t="s">
        <v>141</v>
      </c>
      <c r="F147" s="253">
        <v>308172</v>
      </c>
      <c r="G147" s="253">
        <v>125331</v>
      </c>
      <c r="H147" s="253">
        <v>182841</v>
      </c>
      <c r="I147" s="252">
        <v>0</v>
      </c>
      <c r="N147" s="245" t="s">
        <v>779</v>
      </c>
    </row>
    <row r="148" spans="2:14" x14ac:dyDescent="0.35">
      <c r="B148" s="92" t="s">
        <v>455</v>
      </c>
      <c r="C148" s="249" t="s">
        <v>456</v>
      </c>
      <c r="D148" s="249" t="s">
        <v>552</v>
      </c>
      <c r="E148" s="249" t="s">
        <v>142</v>
      </c>
      <c r="F148" s="253">
        <v>180681</v>
      </c>
      <c r="G148" s="253">
        <v>0</v>
      </c>
      <c r="H148" s="253">
        <v>180681</v>
      </c>
      <c r="I148" s="252">
        <v>0</v>
      </c>
      <c r="N148" s="245" t="s">
        <v>780</v>
      </c>
    </row>
    <row r="149" spans="2:14" x14ac:dyDescent="0.35">
      <c r="B149" s="92" t="s">
        <v>457</v>
      </c>
      <c r="C149" s="249" t="s">
        <v>458</v>
      </c>
      <c r="D149" s="249" t="s">
        <v>552</v>
      </c>
      <c r="E149" s="249" t="s">
        <v>142</v>
      </c>
      <c r="F149" s="253">
        <v>0</v>
      </c>
      <c r="G149" s="253">
        <v>0</v>
      </c>
      <c r="H149" s="253">
        <v>0</v>
      </c>
      <c r="I149" s="252">
        <v>0</v>
      </c>
      <c r="N149" s="245" t="s">
        <v>124</v>
      </c>
    </row>
    <row r="150" spans="2:14" x14ac:dyDescent="0.35">
      <c r="B150" s="92" t="s">
        <v>459</v>
      </c>
      <c r="C150" s="249" t="s">
        <v>460</v>
      </c>
      <c r="D150" s="249" t="s">
        <v>552</v>
      </c>
      <c r="E150" s="249" t="s">
        <v>142</v>
      </c>
      <c r="F150" s="253">
        <v>230724</v>
      </c>
      <c r="G150" s="253">
        <v>89660</v>
      </c>
      <c r="H150" s="253">
        <v>141064</v>
      </c>
      <c r="I150" s="252">
        <v>0</v>
      </c>
      <c r="N150" s="245" t="s">
        <v>707</v>
      </c>
    </row>
    <row r="151" spans="2:14" x14ac:dyDescent="0.35">
      <c r="B151" s="92" t="s">
        <v>461</v>
      </c>
      <c r="C151" s="249" t="s">
        <v>462</v>
      </c>
      <c r="D151" s="249" t="s">
        <v>551</v>
      </c>
      <c r="E151" s="249" t="s">
        <v>141</v>
      </c>
      <c r="F151" s="253">
        <v>1257910</v>
      </c>
      <c r="G151" s="253">
        <v>1091898</v>
      </c>
      <c r="H151" s="253">
        <v>166012</v>
      </c>
      <c r="I151" s="252">
        <v>0</v>
      </c>
      <c r="N151" s="245" t="s">
        <v>708</v>
      </c>
    </row>
    <row r="152" spans="2:14" x14ac:dyDescent="0.35">
      <c r="B152" s="92" t="s">
        <v>463</v>
      </c>
      <c r="C152" s="249" t="s">
        <v>464</v>
      </c>
      <c r="D152" s="249" t="s">
        <v>552</v>
      </c>
      <c r="E152" s="249" t="s">
        <v>142</v>
      </c>
      <c r="F152" s="253">
        <v>1820094</v>
      </c>
      <c r="G152" s="253">
        <v>983229</v>
      </c>
      <c r="H152" s="253">
        <v>836865</v>
      </c>
      <c r="I152" s="252">
        <v>0</v>
      </c>
      <c r="N152" s="245" t="s">
        <v>781</v>
      </c>
    </row>
    <row r="153" spans="2:14" x14ac:dyDescent="0.35">
      <c r="B153" s="92" t="s">
        <v>465</v>
      </c>
      <c r="C153" s="249" t="s">
        <v>466</v>
      </c>
      <c r="D153" s="249" t="s">
        <v>551</v>
      </c>
      <c r="E153" s="249" t="s">
        <v>142</v>
      </c>
      <c r="F153" s="253">
        <v>0</v>
      </c>
      <c r="G153" s="253">
        <v>0</v>
      </c>
      <c r="H153" s="253">
        <v>0</v>
      </c>
      <c r="I153" s="252">
        <v>0</v>
      </c>
      <c r="N153" s="245" t="s">
        <v>709</v>
      </c>
    </row>
    <row r="154" spans="2:14" x14ac:dyDescent="0.35">
      <c r="B154" s="92" t="s">
        <v>467</v>
      </c>
      <c r="C154" s="249" t="s">
        <v>468</v>
      </c>
      <c r="D154" s="249" t="s">
        <v>551</v>
      </c>
      <c r="E154" s="249" t="s">
        <v>141</v>
      </c>
      <c r="F154" s="253">
        <v>41245325</v>
      </c>
      <c r="G154" s="253">
        <v>23083174</v>
      </c>
      <c r="H154" s="253">
        <v>18162151</v>
      </c>
      <c r="I154" s="252">
        <v>70086.801861874206</v>
      </c>
      <c r="N154" s="245" t="s">
        <v>96</v>
      </c>
    </row>
    <row r="155" spans="2:14" x14ac:dyDescent="0.35">
      <c r="B155" s="92" t="s">
        <v>469</v>
      </c>
      <c r="C155" s="249" t="s">
        <v>470</v>
      </c>
      <c r="D155" s="249" t="s">
        <v>551</v>
      </c>
      <c r="E155" s="249" t="s">
        <v>141</v>
      </c>
      <c r="F155" s="253">
        <v>1622420</v>
      </c>
      <c r="G155" s="253">
        <v>1027823</v>
      </c>
      <c r="H155" s="253">
        <v>594597</v>
      </c>
      <c r="I155" s="252">
        <v>0</v>
      </c>
      <c r="N155" s="245" t="s">
        <v>710</v>
      </c>
    </row>
    <row r="156" spans="2:14" x14ac:dyDescent="0.35">
      <c r="B156" s="92" t="s">
        <v>471</v>
      </c>
      <c r="C156" s="249" t="s">
        <v>472</v>
      </c>
      <c r="D156" s="249" t="s">
        <v>552</v>
      </c>
      <c r="E156" s="249" t="s">
        <v>142</v>
      </c>
      <c r="F156" s="253">
        <v>325243</v>
      </c>
      <c r="G156" s="253">
        <v>88333</v>
      </c>
      <c r="H156" s="253">
        <v>236910</v>
      </c>
      <c r="I156" s="252">
        <v>0</v>
      </c>
      <c r="N156" s="245" t="s">
        <v>711</v>
      </c>
    </row>
    <row r="157" spans="2:14" x14ac:dyDescent="0.35">
      <c r="B157" s="92" t="s">
        <v>473</v>
      </c>
      <c r="C157" s="249" t="s">
        <v>474</v>
      </c>
      <c r="D157" s="249" t="s">
        <v>551</v>
      </c>
      <c r="E157" s="249" t="s">
        <v>141</v>
      </c>
      <c r="F157" s="253">
        <v>1148232</v>
      </c>
      <c r="G157" s="253">
        <v>695127</v>
      </c>
      <c r="H157" s="253">
        <v>453105</v>
      </c>
      <c r="I157" s="252">
        <v>0</v>
      </c>
      <c r="N157" s="245" t="s">
        <v>97</v>
      </c>
    </row>
    <row r="158" spans="2:14" x14ac:dyDescent="0.35">
      <c r="B158" s="92" t="s">
        <v>475</v>
      </c>
      <c r="C158" s="249" t="s">
        <v>476</v>
      </c>
      <c r="D158" s="249" t="s">
        <v>552</v>
      </c>
      <c r="E158" s="249" t="s">
        <v>142</v>
      </c>
      <c r="F158" s="253">
        <v>269407</v>
      </c>
      <c r="G158" s="253">
        <v>203980</v>
      </c>
      <c r="H158" s="253">
        <v>65427</v>
      </c>
      <c r="I158" s="252">
        <v>0</v>
      </c>
      <c r="N158" s="245" t="s">
        <v>712</v>
      </c>
    </row>
    <row r="159" spans="2:14" x14ac:dyDescent="0.35">
      <c r="B159" s="92" t="s">
        <v>477</v>
      </c>
      <c r="C159" s="249" t="s">
        <v>478</v>
      </c>
      <c r="D159" s="249" t="s">
        <v>552</v>
      </c>
      <c r="E159" s="249" t="s">
        <v>142</v>
      </c>
      <c r="F159" s="253">
        <v>150390</v>
      </c>
      <c r="G159" s="253">
        <v>0</v>
      </c>
      <c r="H159" s="253">
        <v>150390</v>
      </c>
      <c r="I159" s="252">
        <v>0</v>
      </c>
      <c r="N159" s="245" t="s">
        <v>713</v>
      </c>
    </row>
    <row r="160" spans="2:14" x14ac:dyDescent="0.35">
      <c r="B160" s="92" t="s">
        <v>479</v>
      </c>
      <c r="C160" s="249" t="s">
        <v>480</v>
      </c>
      <c r="D160" s="249" t="s">
        <v>552</v>
      </c>
      <c r="E160" s="249" t="s">
        <v>142</v>
      </c>
      <c r="F160" s="253">
        <v>1011899</v>
      </c>
      <c r="G160" s="253">
        <v>635852</v>
      </c>
      <c r="H160" s="253">
        <v>376047</v>
      </c>
      <c r="I160" s="252">
        <v>0</v>
      </c>
      <c r="N160" s="245" t="s">
        <v>98</v>
      </c>
    </row>
    <row r="161" spans="1:14" x14ac:dyDescent="0.35">
      <c r="B161" s="92" t="s">
        <v>481</v>
      </c>
      <c r="C161" s="249" t="s">
        <v>482</v>
      </c>
      <c r="D161" s="249" t="s">
        <v>552</v>
      </c>
      <c r="E161" s="249" t="s">
        <v>142</v>
      </c>
      <c r="F161" s="249">
        <v>241980</v>
      </c>
      <c r="G161" s="249">
        <v>100000</v>
      </c>
      <c r="H161" s="249">
        <v>141980</v>
      </c>
      <c r="I161" s="252">
        <v>0</v>
      </c>
      <c r="N161" s="245" t="s">
        <v>714</v>
      </c>
    </row>
    <row r="162" spans="1:14" x14ac:dyDescent="0.35">
      <c r="B162" s="92" t="s">
        <v>483</v>
      </c>
      <c r="C162" s="249" t="s">
        <v>484</v>
      </c>
      <c r="D162" s="249" t="s">
        <v>551</v>
      </c>
      <c r="E162" s="249" t="s">
        <v>141</v>
      </c>
      <c r="F162" s="249">
        <v>3237</v>
      </c>
      <c r="G162" s="249">
        <v>0</v>
      </c>
      <c r="H162" s="249">
        <v>3237</v>
      </c>
      <c r="I162" s="252">
        <v>0</v>
      </c>
      <c r="N162" s="245" t="s">
        <v>782</v>
      </c>
    </row>
    <row r="163" spans="1:14" ht="15" thickBot="1" x14ac:dyDescent="0.4">
      <c r="A163" s="249"/>
      <c r="B163" s="93" t="s">
        <v>485</v>
      </c>
      <c r="C163" s="250" t="s">
        <v>486</v>
      </c>
      <c r="D163" s="250" t="s">
        <v>552</v>
      </c>
      <c r="E163" s="250" t="s">
        <v>142</v>
      </c>
      <c r="F163" s="250">
        <v>21458</v>
      </c>
      <c r="G163" s="250">
        <v>0</v>
      </c>
      <c r="H163" s="250">
        <v>21458</v>
      </c>
      <c r="I163" s="256">
        <v>0</v>
      </c>
      <c r="J163" s="249"/>
      <c r="N163" s="245" t="s">
        <v>715</v>
      </c>
    </row>
    <row r="164" spans="1:14" x14ac:dyDescent="0.35">
      <c r="A164" s="249"/>
      <c r="B164" s="249"/>
      <c r="C164" s="249"/>
      <c r="D164" s="249"/>
      <c r="E164" s="249"/>
      <c r="F164" s="249"/>
      <c r="G164" s="249"/>
      <c r="H164" s="249"/>
      <c r="I164" s="249"/>
      <c r="J164" s="249"/>
      <c r="N164" s="245" t="s">
        <v>182</v>
      </c>
    </row>
    <row r="165" spans="1:14" x14ac:dyDescent="0.35">
      <c r="A165" s="249"/>
      <c r="B165" s="249"/>
      <c r="C165" s="249"/>
      <c r="D165" s="249"/>
      <c r="E165" s="249"/>
      <c r="F165" s="249"/>
      <c r="G165" s="249"/>
      <c r="H165" s="249"/>
      <c r="I165" s="249"/>
      <c r="J165" s="249"/>
      <c r="N165" s="245" t="s">
        <v>716</v>
      </c>
    </row>
    <row r="166" spans="1:14" x14ac:dyDescent="0.35">
      <c r="A166" s="249"/>
      <c r="B166" s="249"/>
      <c r="C166" s="249"/>
      <c r="D166" s="249"/>
      <c r="E166" s="249"/>
      <c r="F166" s="249"/>
      <c r="G166" s="249"/>
      <c r="H166" s="249"/>
      <c r="I166" s="249"/>
      <c r="J166" s="249"/>
      <c r="N166" s="245" t="s">
        <v>717</v>
      </c>
    </row>
    <row r="167" spans="1:14" x14ac:dyDescent="0.35">
      <c r="A167" s="249"/>
      <c r="B167" s="249"/>
      <c r="C167" s="249"/>
      <c r="D167" s="249"/>
      <c r="E167" s="249"/>
      <c r="F167" s="249"/>
      <c r="G167" s="249"/>
      <c r="H167" s="249"/>
      <c r="I167" s="249"/>
      <c r="J167" s="249"/>
      <c r="N167" s="245" t="s">
        <v>718</v>
      </c>
    </row>
    <row r="168" spans="1:14" x14ac:dyDescent="0.35">
      <c r="A168" s="249"/>
      <c r="B168" s="249"/>
      <c r="C168" s="249"/>
      <c r="D168" s="249"/>
      <c r="E168" s="249"/>
      <c r="F168" s="249"/>
      <c r="G168" s="249"/>
      <c r="H168" s="249"/>
      <c r="I168" s="249"/>
      <c r="J168" s="249"/>
      <c r="N168" s="245" t="s">
        <v>783</v>
      </c>
    </row>
    <row r="169" spans="1:14" x14ac:dyDescent="0.35">
      <c r="A169" s="249"/>
      <c r="B169" s="249"/>
      <c r="C169" s="249"/>
      <c r="D169" s="249"/>
      <c r="E169" s="249"/>
      <c r="F169" s="249"/>
      <c r="G169" s="249"/>
      <c r="H169" s="249"/>
      <c r="I169" s="249"/>
      <c r="J169" s="249"/>
      <c r="N169" s="245" t="s">
        <v>99</v>
      </c>
    </row>
    <row r="170" spans="1:14" x14ac:dyDescent="0.35">
      <c r="A170" s="249"/>
      <c r="B170" s="249"/>
      <c r="C170" s="249"/>
      <c r="D170" s="249"/>
      <c r="E170" s="249"/>
      <c r="F170" s="249"/>
      <c r="G170" s="249"/>
      <c r="H170" s="249"/>
      <c r="I170" s="249"/>
      <c r="J170" s="249"/>
      <c r="N170" s="245" t="s">
        <v>100</v>
      </c>
    </row>
    <row r="171" spans="1:14" x14ac:dyDescent="0.35">
      <c r="A171" s="249"/>
      <c r="B171" s="249"/>
      <c r="C171" s="249"/>
      <c r="D171" s="249"/>
      <c r="E171" s="249"/>
      <c r="F171" s="249"/>
      <c r="G171" s="249"/>
      <c r="H171" s="249"/>
      <c r="I171" s="249"/>
      <c r="J171" s="249"/>
      <c r="N171" s="245" t="s">
        <v>719</v>
      </c>
    </row>
    <row r="172" spans="1:14" x14ac:dyDescent="0.35">
      <c r="A172" s="249"/>
      <c r="B172" s="249"/>
      <c r="C172" s="249"/>
      <c r="D172" s="249"/>
      <c r="E172" s="249"/>
      <c r="F172" s="249"/>
      <c r="G172" s="249"/>
      <c r="H172" s="249"/>
      <c r="I172" s="249"/>
      <c r="J172" s="249"/>
      <c r="N172" s="245" t="s">
        <v>195</v>
      </c>
    </row>
    <row r="173" spans="1:14" x14ac:dyDescent="0.35">
      <c r="A173" s="249"/>
      <c r="B173" s="249"/>
      <c r="C173" s="249"/>
      <c r="D173" s="249"/>
      <c r="E173" s="249"/>
      <c r="F173" s="249"/>
      <c r="G173" s="249"/>
      <c r="H173" s="249"/>
      <c r="I173" s="249"/>
      <c r="J173" s="249"/>
      <c r="N173" s="245" t="s">
        <v>176</v>
      </c>
    </row>
    <row r="174" spans="1:14" x14ac:dyDescent="0.35">
      <c r="A174" s="249"/>
      <c r="B174" s="249"/>
      <c r="C174" s="249"/>
      <c r="D174" s="249"/>
      <c r="E174" s="249"/>
      <c r="F174" s="249"/>
      <c r="G174" s="249"/>
      <c r="H174" s="249"/>
      <c r="I174" s="249"/>
      <c r="J174" s="249"/>
      <c r="N174" s="245" t="s">
        <v>784</v>
      </c>
    </row>
    <row r="175" spans="1:14" x14ac:dyDescent="0.35">
      <c r="A175" s="249"/>
      <c r="B175" s="249"/>
      <c r="C175" s="249"/>
      <c r="D175" s="249"/>
      <c r="E175" s="249"/>
      <c r="F175" s="249"/>
      <c r="G175" s="249"/>
      <c r="H175" s="249"/>
      <c r="I175" s="249"/>
      <c r="J175" s="249"/>
      <c r="N175" s="245" t="s">
        <v>192</v>
      </c>
    </row>
    <row r="176" spans="1:14" x14ac:dyDescent="0.35">
      <c r="N176" s="245" t="s">
        <v>720</v>
      </c>
    </row>
    <row r="177" spans="14:14" x14ac:dyDescent="0.35">
      <c r="N177" s="245" t="s">
        <v>721</v>
      </c>
    </row>
    <row r="178" spans="14:14" x14ac:dyDescent="0.35">
      <c r="N178" s="245" t="s">
        <v>9</v>
      </c>
    </row>
    <row r="179" spans="14:14" x14ac:dyDescent="0.35">
      <c r="N179" s="245" t="s">
        <v>181</v>
      </c>
    </row>
    <row r="180" spans="14:14" x14ac:dyDescent="0.35">
      <c r="N180" s="245" t="s">
        <v>101</v>
      </c>
    </row>
    <row r="181" spans="14:14" x14ac:dyDescent="0.35">
      <c r="N181" s="245" t="s">
        <v>785</v>
      </c>
    </row>
    <row r="182" spans="14:14" x14ac:dyDescent="0.35">
      <c r="N182" s="245" t="s">
        <v>786</v>
      </c>
    </row>
    <row r="183" spans="14:14" x14ac:dyDescent="0.35">
      <c r="N183" s="245" t="s">
        <v>787</v>
      </c>
    </row>
    <row r="184" spans="14:14" x14ac:dyDescent="0.35">
      <c r="N184" s="245" t="s">
        <v>102</v>
      </c>
    </row>
    <row r="185" spans="14:14" x14ac:dyDescent="0.35">
      <c r="N185" s="245" t="s">
        <v>103</v>
      </c>
    </row>
    <row r="186" spans="14:14" x14ac:dyDescent="0.35">
      <c r="N186" s="245" t="s">
        <v>104</v>
      </c>
    </row>
    <row r="187" spans="14:14" x14ac:dyDescent="0.35">
      <c r="N187" s="245" t="s">
        <v>722</v>
      </c>
    </row>
    <row r="188" spans="14:14" x14ac:dyDescent="0.35">
      <c r="N188" s="245" t="s">
        <v>105</v>
      </c>
    </row>
    <row r="189" spans="14:14" x14ac:dyDescent="0.35">
      <c r="N189" s="245" t="s">
        <v>723</v>
      </c>
    </row>
    <row r="190" spans="14:14" x14ac:dyDescent="0.35">
      <c r="N190" s="245" t="s">
        <v>724</v>
      </c>
    </row>
    <row r="191" spans="14:14" x14ac:dyDescent="0.35">
      <c r="N191" s="245" t="s">
        <v>186</v>
      </c>
    </row>
    <row r="192" spans="14:14" x14ac:dyDescent="0.35">
      <c r="N192" s="245" t="s">
        <v>180</v>
      </c>
    </row>
    <row r="193" spans="14:14" x14ac:dyDescent="0.35">
      <c r="N193" s="245" t="s">
        <v>788</v>
      </c>
    </row>
    <row r="194" spans="14:14" x14ac:dyDescent="0.35">
      <c r="N194" s="245" t="s">
        <v>725</v>
      </c>
    </row>
    <row r="195" spans="14:14" x14ac:dyDescent="0.35">
      <c r="N195" s="245" t="s">
        <v>726</v>
      </c>
    </row>
    <row r="196" spans="14:14" x14ac:dyDescent="0.35">
      <c r="N196" s="245" t="s">
        <v>165</v>
      </c>
    </row>
    <row r="197" spans="14:14" x14ac:dyDescent="0.35">
      <c r="N197" s="245" t="s">
        <v>789</v>
      </c>
    </row>
    <row r="198" spans="14:14" x14ac:dyDescent="0.35">
      <c r="N198" s="245" t="s">
        <v>727</v>
      </c>
    </row>
    <row r="199" spans="14:14" x14ac:dyDescent="0.35">
      <c r="N199" s="245" t="s">
        <v>185</v>
      </c>
    </row>
    <row r="200" spans="14:14" x14ac:dyDescent="0.35">
      <c r="N200" s="245" t="s">
        <v>790</v>
      </c>
    </row>
    <row r="201" spans="14:14" ht="15" thickBot="1" x14ac:dyDescent="0.4">
      <c r="N201" s="246" t="s">
        <v>106</v>
      </c>
    </row>
  </sheetData>
  <sheetProtection algorithmName="SHA-256" hashValue="OXI/UddYUBsnI+iCl78/DeTXRac4fvfX/7FphvfxL3U=" saltValue="Qdp92/gFRmP4yd9K8o/yow==" spinCount="100000" sheet="1" objects="1" scenarios="1"/>
  <autoFilter ref="B1:I163" xr:uid="{00000000-0009-0000-0000-000002000000}"/>
  <sortState ref="N3:N163">
    <sortCondition ref="N3"/>
  </sortState>
  <conditionalFormatting sqref="N3:N201">
    <cfRule type="duplicateValues" dxfId="3"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B177"/>
  <sheetViews>
    <sheetView topLeftCell="A85" zoomScale="86" zoomScaleNormal="86" workbookViewId="0">
      <selection activeCell="B172" sqref="B172"/>
    </sheetView>
  </sheetViews>
  <sheetFormatPr defaultRowHeight="14.5" x14ac:dyDescent="0.35"/>
  <cols>
    <col min="1" max="1" width="34.453125" style="106" customWidth="1"/>
    <col min="2" max="2" width="91.7265625" style="102" customWidth="1"/>
  </cols>
  <sheetData>
    <row r="2" spans="1:2" x14ac:dyDescent="0.35">
      <c r="B2" s="103"/>
    </row>
    <row r="3" spans="1:2" ht="20" thickBot="1" x14ac:dyDescent="0.4">
      <c r="A3" s="107"/>
      <c r="B3" s="107" t="s">
        <v>637</v>
      </c>
    </row>
    <row r="4" spans="1:2" ht="87.5" thickTop="1" x14ac:dyDescent="0.35">
      <c r="A4" s="106" t="s">
        <v>145</v>
      </c>
      <c r="B4" s="103" t="s">
        <v>750</v>
      </c>
    </row>
    <row r="5" spans="1:2" ht="87" x14ac:dyDescent="0.35">
      <c r="A5" s="106" t="s">
        <v>638</v>
      </c>
      <c r="B5" s="103" t="s">
        <v>730</v>
      </c>
    </row>
    <row r="11" spans="1:2" ht="20" thickBot="1" x14ac:dyDescent="0.4">
      <c r="A11" s="107"/>
      <c r="B11" s="107" t="s">
        <v>109</v>
      </c>
    </row>
    <row r="12" spans="1:2" ht="145.5" thickTop="1" x14ac:dyDescent="0.35">
      <c r="A12" s="106" t="s">
        <v>558</v>
      </c>
      <c r="B12" s="103" t="s">
        <v>749</v>
      </c>
    </row>
    <row r="13" spans="1:2" ht="58" x14ac:dyDescent="0.35">
      <c r="A13" s="106" t="s">
        <v>632</v>
      </c>
      <c r="B13" s="103" t="s">
        <v>732</v>
      </c>
    </row>
    <row r="14" spans="1:2" ht="43.5" x14ac:dyDescent="0.35">
      <c r="A14" s="106" t="s">
        <v>633</v>
      </c>
      <c r="B14" s="103" t="s">
        <v>639</v>
      </c>
    </row>
    <row r="15" spans="1:2" ht="43.5" x14ac:dyDescent="0.35">
      <c r="A15" s="106" t="s">
        <v>634</v>
      </c>
      <c r="B15" s="103" t="s">
        <v>640</v>
      </c>
    </row>
    <row r="16" spans="1:2" ht="43.5" x14ac:dyDescent="0.35">
      <c r="A16" s="106" t="s">
        <v>635</v>
      </c>
      <c r="B16" s="103" t="s">
        <v>641</v>
      </c>
    </row>
    <row r="17" spans="1:2" ht="43.5" x14ac:dyDescent="0.35">
      <c r="A17" s="106" t="s">
        <v>636</v>
      </c>
      <c r="B17" s="103" t="s">
        <v>642</v>
      </c>
    </row>
    <row r="18" spans="1:2" ht="159.5" x14ac:dyDescent="0.35">
      <c r="A18" s="106" t="s">
        <v>631</v>
      </c>
      <c r="B18" s="103" t="s">
        <v>733</v>
      </c>
    </row>
    <row r="19" spans="1:2" ht="174" x14ac:dyDescent="0.35">
      <c r="A19" s="106" t="s">
        <v>559</v>
      </c>
      <c r="B19" s="103" t="s">
        <v>643</v>
      </c>
    </row>
    <row r="20" spans="1:2" ht="72.5" x14ac:dyDescent="0.35">
      <c r="A20" s="106" t="s">
        <v>560</v>
      </c>
      <c r="B20" s="103" t="s">
        <v>734</v>
      </c>
    </row>
    <row r="21" spans="1:2" ht="58" x14ac:dyDescent="0.35">
      <c r="A21" s="106" t="s">
        <v>561</v>
      </c>
      <c r="B21" s="103" t="s">
        <v>644</v>
      </c>
    </row>
    <row r="22" spans="1:2" ht="72.5" x14ac:dyDescent="0.35">
      <c r="A22" s="106" t="s">
        <v>593</v>
      </c>
      <c r="B22" s="103" t="s">
        <v>594</v>
      </c>
    </row>
    <row r="23" spans="1:2" x14ac:dyDescent="0.35">
      <c r="B23" s="103"/>
    </row>
    <row r="24" spans="1:2" x14ac:dyDescent="0.35">
      <c r="B24" s="103" t="s">
        <v>595</v>
      </c>
    </row>
    <row r="25" spans="1:2" x14ac:dyDescent="0.35">
      <c r="B25" s="103"/>
    </row>
    <row r="26" spans="1:2" ht="20" thickBot="1" x14ac:dyDescent="0.4">
      <c r="A26" s="107" t="s">
        <v>143</v>
      </c>
      <c r="B26" s="107" t="s">
        <v>596</v>
      </c>
    </row>
    <row r="27" spans="1:2" ht="58.5" thickTop="1" x14ac:dyDescent="0.35">
      <c r="A27" s="106" t="s">
        <v>145</v>
      </c>
      <c r="B27" s="103" t="s">
        <v>735</v>
      </c>
    </row>
    <row r="28" spans="1:2" ht="72.5" x14ac:dyDescent="0.35">
      <c r="A28" s="106" t="s">
        <v>562</v>
      </c>
      <c r="B28" s="103" t="s">
        <v>563</v>
      </c>
    </row>
    <row r="29" spans="1:2" ht="58" x14ac:dyDescent="0.35">
      <c r="A29" s="106" t="s">
        <v>564</v>
      </c>
      <c r="B29" s="103" t="s">
        <v>565</v>
      </c>
    </row>
    <row r="30" spans="1:2" x14ac:dyDescent="0.35">
      <c r="B30" s="103"/>
    </row>
    <row r="31" spans="1:2" x14ac:dyDescent="0.35">
      <c r="B31" s="103" t="s">
        <v>597</v>
      </c>
    </row>
    <row r="34" spans="1:2" x14ac:dyDescent="0.35">
      <c r="B34" s="102" t="s">
        <v>613</v>
      </c>
    </row>
    <row r="36" spans="1:2" x14ac:dyDescent="0.35">
      <c r="B36" s="102" t="s">
        <v>556</v>
      </c>
    </row>
    <row r="38" spans="1:2" ht="20" thickBot="1" x14ac:dyDescent="0.4">
      <c r="A38" s="107" t="s">
        <v>144</v>
      </c>
      <c r="B38" s="108" t="s">
        <v>146</v>
      </c>
    </row>
    <row r="39" spans="1:2" ht="116.5" thickTop="1" x14ac:dyDescent="0.35">
      <c r="A39" s="106" t="s">
        <v>145</v>
      </c>
      <c r="B39" s="103" t="s">
        <v>736</v>
      </c>
    </row>
    <row r="40" spans="1:2" ht="101.5" x14ac:dyDescent="0.35">
      <c r="A40" s="106" t="s">
        <v>566</v>
      </c>
      <c r="B40" s="103" t="s">
        <v>751</v>
      </c>
    </row>
    <row r="41" spans="1:2" ht="72.5" x14ac:dyDescent="0.35">
      <c r="A41" s="106" t="s">
        <v>567</v>
      </c>
      <c r="B41" s="103" t="s">
        <v>568</v>
      </c>
    </row>
    <row r="42" spans="1:2" ht="130.5" x14ac:dyDescent="0.35">
      <c r="A42" s="106" t="s">
        <v>569</v>
      </c>
      <c r="B42" s="103" t="s">
        <v>737</v>
      </c>
    </row>
    <row r="43" spans="1:2" x14ac:dyDescent="0.35">
      <c r="B43" s="103"/>
    </row>
    <row r="44" spans="1:2" x14ac:dyDescent="0.35">
      <c r="B44" s="103" t="s">
        <v>598</v>
      </c>
    </row>
    <row r="46" spans="1:2" ht="15" thickBot="1" x14ac:dyDescent="0.4">
      <c r="A46" s="110" t="s">
        <v>147</v>
      </c>
      <c r="B46" s="111" t="s">
        <v>150</v>
      </c>
    </row>
    <row r="47" spans="1:2" x14ac:dyDescent="0.35">
      <c r="B47" t="s">
        <v>614</v>
      </c>
    </row>
    <row r="48" spans="1:2" x14ac:dyDescent="0.35">
      <c r="B48" t="s">
        <v>615</v>
      </c>
    </row>
    <row r="49" spans="2:2" x14ac:dyDescent="0.35">
      <c r="B49" t="s">
        <v>616</v>
      </c>
    </row>
    <row r="50" spans="2:2" x14ac:dyDescent="0.35">
      <c r="B50" t="s">
        <v>617</v>
      </c>
    </row>
    <row r="51" spans="2:2" x14ac:dyDescent="0.35">
      <c r="B51" t="s">
        <v>615</v>
      </c>
    </row>
    <row r="52" spans="2:2" x14ac:dyDescent="0.35">
      <c r="B52" t="s">
        <v>616</v>
      </c>
    </row>
    <row r="53" spans="2:2" x14ac:dyDescent="0.35">
      <c r="B53" t="s">
        <v>618</v>
      </c>
    </row>
    <row r="54" spans="2:2" x14ac:dyDescent="0.35">
      <c r="B54" t="s">
        <v>615</v>
      </c>
    </row>
    <row r="55" spans="2:2" x14ac:dyDescent="0.35">
      <c r="B55" t="s">
        <v>616</v>
      </c>
    </row>
    <row r="57" spans="2:2" x14ac:dyDescent="0.35">
      <c r="B57" s="102" t="s">
        <v>556</v>
      </c>
    </row>
    <row r="59" spans="2:2" x14ac:dyDescent="0.35">
      <c r="B59" s="102" t="s">
        <v>619</v>
      </c>
    </row>
    <row r="60" spans="2:2" x14ac:dyDescent="0.35">
      <c r="B60" s="102" t="s">
        <v>615</v>
      </c>
    </row>
    <row r="61" spans="2:2" x14ac:dyDescent="0.35">
      <c r="B61" s="102" t="s">
        <v>616</v>
      </c>
    </row>
    <row r="62" spans="2:2" x14ac:dyDescent="0.35">
      <c r="B62" s="102" t="s">
        <v>620</v>
      </c>
    </row>
    <row r="63" spans="2:2" x14ac:dyDescent="0.35">
      <c r="B63" s="102" t="s">
        <v>615</v>
      </c>
    </row>
    <row r="64" spans="2:2" x14ac:dyDescent="0.35">
      <c r="B64" s="102" t="s">
        <v>616</v>
      </c>
    </row>
    <row r="65" spans="1:2" x14ac:dyDescent="0.35">
      <c r="B65" s="102" t="s">
        <v>621</v>
      </c>
    </row>
    <row r="66" spans="1:2" x14ac:dyDescent="0.35">
      <c r="B66" s="102" t="s">
        <v>615</v>
      </c>
    </row>
    <row r="67" spans="1:2" x14ac:dyDescent="0.35">
      <c r="B67" s="102" t="s">
        <v>616</v>
      </c>
    </row>
    <row r="69" spans="1:2" x14ac:dyDescent="0.35">
      <c r="B69" s="102" t="s">
        <v>556</v>
      </c>
    </row>
    <row r="71" spans="1:2" ht="15" thickBot="1" x14ac:dyDescent="0.4">
      <c r="A71" s="110" t="s">
        <v>149</v>
      </c>
      <c r="B71" s="111" t="s">
        <v>148</v>
      </c>
    </row>
    <row r="72" spans="1:2" x14ac:dyDescent="0.35">
      <c r="B72" s="102" t="s">
        <v>622</v>
      </c>
    </row>
    <row r="73" spans="1:2" x14ac:dyDescent="0.35">
      <c r="B73" s="102" t="s">
        <v>615</v>
      </c>
    </row>
    <row r="74" spans="1:2" x14ac:dyDescent="0.35">
      <c r="B74" s="102" t="s">
        <v>616</v>
      </c>
    </row>
    <row r="75" spans="1:2" x14ac:dyDescent="0.35">
      <c r="B75" s="102" t="s">
        <v>623</v>
      </c>
    </row>
    <row r="76" spans="1:2" x14ac:dyDescent="0.35">
      <c r="B76" s="102" t="s">
        <v>615</v>
      </c>
    </row>
    <row r="77" spans="1:2" x14ac:dyDescent="0.35">
      <c r="B77" s="102" t="s">
        <v>616</v>
      </c>
    </row>
    <row r="78" spans="1:2" x14ac:dyDescent="0.35">
      <c r="B78" s="102" t="s">
        <v>624</v>
      </c>
    </row>
    <row r="79" spans="1:2" x14ac:dyDescent="0.35">
      <c r="B79" s="102" t="s">
        <v>615</v>
      </c>
    </row>
    <row r="80" spans="1:2" x14ac:dyDescent="0.35">
      <c r="B80" s="102" t="s">
        <v>616</v>
      </c>
    </row>
    <row r="82" spans="1:2" x14ac:dyDescent="0.35">
      <c r="B82" s="102" t="s">
        <v>556</v>
      </c>
    </row>
    <row r="84" spans="1:2" x14ac:dyDescent="0.35">
      <c r="B84" s="102" t="s">
        <v>653</v>
      </c>
    </row>
    <row r="85" spans="1:2" x14ac:dyDescent="0.35">
      <c r="B85" s="102" t="s">
        <v>615</v>
      </c>
    </row>
    <row r="86" spans="1:2" x14ac:dyDescent="0.35">
      <c r="B86" s="102" t="s">
        <v>616</v>
      </c>
    </row>
    <row r="87" spans="1:2" x14ac:dyDescent="0.35">
      <c r="B87" s="102" t="s">
        <v>654</v>
      </c>
    </row>
    <row r="88" spans="1:2" x14ac:dyDescent="0.35">
      <c r="B88" s="102" t="s">
        <v>615</v>
      </c>
    </row>
    <row r="89" spans="1:2" x14ac:dyDescent="0.35">
      <c r="B89" s="102" t="s">
        <v>616</v>
      </c>
    </row>
    <row r="90" spans="1:2" x14ac:dyDescent="0.35">
      <c r="B90" s="102" t="s">
        <v>655</v>
      </c>
    </row>
    <row r="91" spans="1:2" x14ac:dyDescent="0.35">
      <c r="B91" s="102" t="s">
        <v>615</v>
      </c>
    </row>
    <row r="92" spans="1:2" x14ac:dyDescent="0.35">
      <c r="B92" s="102" t="s">
        <v>616</v>
      </c>
    </row>
    <row r="94" spans="1:2" x14ac:dyDescent="0.35">
      <c r="B94" s="102" t="s">
        <v>556</v>
      </c>
    </row>
    <row r="96" spans="1:2" ht="20" thickBot="1" x14ac:dyDescent="0.4">
      <c r="A96" s="107"/>
      <c r="B96" s="108" t="s">
        <v>570</v>
      </c>
    </row>
    <row r="97" spans="1:2" ht="44" thickTop="1" x14ac:dyDescent="0.35">
      <c r="A97" s="106" t="s">
        <v>145</v>
      </c>
      <c r="B97" s="103" t="s">
        <v>645</v>
      </c>
    </row>
    <row r="98" spans="1:2" ht="87" x14ac:dyDescent="0.35">
      <c r="A98" s="106" t="s">
        <v>571</v>
      </c>
      <c r="B98" s="103" t="s">
        <v>728</v>
      </c>
    </row>
    <row r="99" spans="1:2" ht="58" x14ac:dyDescent="0.35">
      <c r="A99" s="106" t="s">
        <v>572</v>
      </c>
      <c r="B99" s="103" t="s">
        <v>573</v>
      </c>
    </row>
    <row r="101" spans="1:2" x14ac:dyDescent="0.35">
      <c r="B101" s="103" t="s">
        <v>599</v>
      </c>
    </row>
    <row r="104" spans="1:2" x14ac:dyDescent="0.35">
      <c r="B104" s="102" t="s">
        <v>625</v>
      </c>
    </row>
    <row r="106" spans="1:2" x14ac:dyDescent="0.35">
      <c r="B106" s="102" t="s">
        <v>556</v>
      </c>
    </row>
    <row r="108" spans="1:2" ht="20" thickBot="1" x14ac:dyDescent="0.4">
      <c r="A108" s="107"/>
      <c r="B108" s="108" t="s">
        <v>574</v>
      </c>
    </row>
    <row r="109" spans="1:2" ht="131" thickTop="1" x14ac:dyDescent="0.35">
      <c r="A109" s="106" t="s">
        <v>145</v>
      </c>
      <c r="B109" s="103" t="s">
        <v>646</v>
      </c>
    </row>
    <row r="110" spans="1:2" ht="159.5" x14ac:dyDescent="0.35">
      <c r="A110" s="106" t="s">
        <v>575</v>
      </c>
      <c r="B110" s="103" t="s">
        <v>738</v>
      </c>
    </row>
    <row r="111" spans="1:2" ht="58" x14ac:dyDescent="0.35">
      <c r="A111" s="106" t="s">
        <v>576</v>
      </c>
      <c r="B111" s="103" t="s">
        <v>577</v>
      </c>
    </row>
    <row r="113" spans="1:2" x14ac:dyDescent="0.35">
      <c r="B113" s="103" t="s">
        <v>600</v>
      </c>
    </row>
    <row r="115" spans="1:2" x14ac:dyDescent="0.35">
      <c r="A115"/>
      <c r="B115"/>
    </row>
    <row r="116" spans="1:2" x14ac:dyDescent="0.35">
      <c r="B116" s="102" t="s">
        <v>117</v>
      </c>
    </row>
    <row r="117" spans="1:2" x14ac:dyDescent="0.35">
      <c r="B117" s="102" t="s">
        <v>656</v>
      </c>
    </row>
    <row r="118" spans="1:2" x14ac:dyDescent="0.35">
      <c r="B118" s="102" t="s">
        <v>626</v>
      </c>
    </row>
    <row r="119" spans="1:2" x14ac:dyDescent="0.35">
      <c r="B119" s="103" t="s">
        <v>740</v>
      </c>
    </row>
    <row r="120" spans="1:2" x14ac:dyDescent="0.35">
      <c r="B120" s="102" t="s">
        <v>647</v>
      </c>
    </row>
    <row r="121" spans="1:2" ht="29" x14ac:dyDescent="0.35">
      <c r="B121" s="103" t="s">
        <v>741</v>
      </c>
    </row>
    <row r="123" spans="1:2" x14ac:dyDescent="0.35">
      <c r="B123" s="102" t="s">
        <v>556</v>
      </c>
    </row>
    <row r="125" spans="1:2" x14ac:dyDescent="0.35">
      <c r="B125" s="102" t="s">
        <v>627</v>
      </c>
    </row>
    <row r="126" spans="1:2" x14ac:dyDescent="0.35">
      <c r="B126" s="102" t="s">
        <v>739</v>
      </c>
    </row>
    <row r="127" spans="1:2" x14ac:dyDescent="0.35">
      <c r="B127" s="102" t="s">
        <v>628</v>
      </c>
    </row>
    <row r="128" spans="1:2" x14ac:dyDescent="0.35">
      <c r="B128" s="102" t="s">
        <v>112</v>
      </c>
    </row>
    <row r="129" spans="1:2" x14ac:dyDescent="0.35">
      <c r="B129" s="102" t="s">
        <v>110</v>
      </c>
    </row>
    <row r="131" spans="1:2" x14ac:dyDescent="0.35">
      <c r="B131" s="102" t="s">
        <v>556</v>
      </c>
    </row>
    <row r="133" spans="1:2" ht="20" thickBot="1" x14ac:dyDescent="0.4">
      <c r="A133" s="107"/>
      <c r="B133" s="108" t="s">
        <v>578</v>
      </c>
    </row>
    <row r="134" spans="1:2" ht="160" thickTop="1" x14ac:dyDescent="0.35">
      <c r="A134" s="106" t="s">
        <v>145</v>
      </c>
      <c r="B134" s="103" t="s">
        <v>729</v>
      </c>
    </row>
    <row r="135" spans="1:2" ht="87" x14ac:dyDescent="0.35">
      <c r="A135" s="106" t="s">
        <v>579</v>
      </c>
      <c r="B135" s="103" t="s">
        <v>580</v>
      </c>
    </row>
    <row r="136" spans="1:2" ht="72.5" x14ac:dyDescent="0.35">
      <c r="A136" s="106" t="s">
        <v>581</v>
      </c>
      <c r="B136" s="103" t="s">
        <v>648</v>
      </c>
    </row>
    <row r="137" spans="1:2" ht="72.5" x14ac:dyDescent="0.35">
      <c r="A137" s="106" t="s">
        <v>582</v>
      </c>
      <c r="B137" s="103" t="s">
        <v>649</v>
      </c>
    </row>
    <row r="138" spans="1:2" ht="58" x14ac:dyDescent="0.35">
      <c r="A138" s="106" t="s">
        <v>583</v>
      </c>
      <c r="B138" s="103" t="s">
        <v>742</v>
      </c>
    </row>
    <row r="139" spans="1:2" ht="275.5" x14ac:dyDescent="0.35">
      <c r="A139" s="106" t="s">
        <v>604</v>
      </c>
      <c r="B139" s="103" t="s">
        <v>743</v>
      </c>
    </row>
    <row r="141" spans="1:2" x14ac:dyDescent="0.35">
      <c r="B141" s="103" t="s">
        <v>603</v>
      </c>
    </row>
    <row r="142" spans="1:2" x14ac:dyDescent="0.35">
      <c r="B142" s="103"/>
    </row>
    <row r="143" spans="1:2" ht="15" thickBot="1" x14ac:dyDescent="0.4">
      <c r="A143" s="110" t="s">
        <v>159</v>
      </c>
      <c r="B143" s="110" t="s">
        <v>160</v>
      </c>
    </row>
    <row r="144" spans="1:2" x14ac:dyDescent="0.35">
      <c r="B144" s="103" t="s">
        <v>629</v>
      </c>
    </row>
    <row r="145" spans="1:2" x14ac:dyDescent="0.35">
      <c r="B145" s="103" t="s">
        <v>630</v>
      </c>
    </row>
    <row r="146" spans="1:2" x14ac:dyDescent="0.35">
      <c r="B146" s="103" t="s">
        <v>15</v>
      </c>
    </row>
    <row r="147" spans="1:2" x14ac:dyDescent="0.35">
      <c r="B147" s="103" t="s">
        <v>630</v>
      </c>
    </row>
    <row r="148" spans="1:2" x14ac:dyDescent="0.35">
      <c r="B148" s="103" t="s">
        <v>16</v>
      </c>
    </row>
    <row r="149" spans="1:2" x14ac:dyDescent="0.35">
      <c r="B149" s="103" t="s">
        <v>630</v>
      </c>
    </row>
    <row r="150" spans="1:2" x14ac:dyDescent="0.35">
      <c r="B150" s="103"/>
    </row>
    <row r="151" spans="1:2" x14ac:dyDescent="0.35">
      <c r="B151" s="103" t="s">
        <v>556</v>
      </c>
    </row>
    <row r="152" spans="1:2" x14ac:dyDescent="0.35">
      <c r="B152" s="103"/>
    </row>
    <row r="153" spans="1:2" ht="15" thickBot="1" x14ac:dyDescent="0.4">
      <c r="A153" s="110" t="s">
        <v>162</v>
      </c>
      <c r="B153" s="110" t="s">
        <v>161</v>
      </c>
    </row>
    <row r="154" spans="1:2" x14ac:dyDescent="0.35">
      <c r="B154" s="103" t="s">
        <v>11</v>
      </c>
    </row>
    <row r="155" spans="1:2" x14ac:dyDescent="0.35">
      <c r="B155" s="103" t="s">
        <v>630</v>
      </c>
    </row>
    <row r="156" spans="1:2" x14ac:dyDescent="0.35">
      <c r="B156" s="103"/>
    </row>
    <row r="157" spans="1:2" x14ac:dyDescent="0.35">
      <c r="B157" s="103" t="s">
        <v>556</v>
      </c>
    </row>
    <row r="158" spans="1:2" x14ac:dyDescent="0.35">
      <c r="B158" s="103"/>
    </row>
    <row r="159" spans="1:2" ht="15" thickBot="1" x14ac:dyDescent="0.4">
      <c r="A159" s="110" t="s">
        <v>164</v>
      </c>
      <c r="B159" s="110" t="s">
        <v>163</v>
      </c>
    </row>
    <row r="160" spans="1:2" x14ac:dyDescent="0.35">
      <c r="B160" s="103" t="s">
        <v>1</v>
      </c>
    </row>
    <row r="161" spans="1:2" x14ac:dyDescent="0.35">
      <c r="B161" s="103" t="s">
        <v>630</v>
      </c>
    </row>
    <row r="162" spans="1:2" x14ac:dyDescent="0.35">
      <c r="B162" s="103"/>
    </row>
    <row r="163" spans="1:2" x14ac:dyDescent="0.35">
      <c r="B163" s="103" t="s">
        <v>652</v>
      </c>
    </row>
    <row r="164" spans="1:2" x14ac:dyDescent="0.35">
      <c r="B164" s="103"/>
    </row>
    <row r="166" spans="1:2" ht="20" thickBot="1" x14ac:dyDescent="0.4">
      <c r="A166" s="107"/>
      <c r="B166" s="108" t="s">
        <v>491</v>
      </c>
    </row>
    <row r="167" spans="1:2" ht="58.5" thickTop="1" x14ac:dyDescent="0.35">
      <c r="B167" s="103" t="s">
        <v>650</v>
      </c>
    </row>
    <row r="168" spans="1:2" ht="20" thickBot="1" x14ac:dyDescent="0.5">
      <c r="A168" s="107"/>
      <c r="B168" s="109" t="s">
        <v>584</v>
      </c>
    </row>
    <row r="169" spans="1:2" ht="58.5" thickTop="1" x14ac:dyDescent="0.35">
      <c r="A169" s="106" t="s">
        <v>145</v>
      </c>
      <c r="B169" s="103" t="s">
        <v>744</v>
      </c>
    </row>
    <row r="170" spans="1:2" ht="87" x14ac:dyDescent="0.35">
      <c r="A170" s="106" t="s">
        <v>585</v>
      </c>
      <c r="B170" s="103" t="s">
        <v>651</v>
      </c>
    </row>
    <row r="171" spans="1:2" ht="72.5" x14ac:dyDescent="0.35">
      <c r="A171" s="106" t="s">
        <v>586</v>
      </c>
      <c r="B171" s="103" t="s">
        <v>825</v>
      </c>
    </row>
    <row r="172" spans="1:2" ht="72.5" x14ac:dyDescent="0.35">
      <c r="A172" s="106" t="s">
        <v>587</v>
      </c>
      <c r="B172" s="103" t="s">
        <v>745</v>
      </c>
    </row>
    <row r="173" spans="1:2" ht="72.5" x14ac:dyDescent="0.35">
      <c r="A173" s="106" t="s">
        <v>588</v>
      </c>
      <c r="B173" s="103" t="s">
        <v>746</v>
      </c>
    </row>
    <row r="174" spans="1:2" ht="20" thickBot="1" x14ac:dyDescent="0.4">
      <c r="A174" s="107"/>
      <c r="B174" s="108" t="s">
        <v>589</v>
      </c>
    </row>
    <row r="175" spans="1:2" ht="160" thickTop="1" x14ac:dyDescent="0.35">
      <c r="A175" s="106" t="s">
        <v>590</v>
      </c>
      <c r="B175" s="103" t="s">
        <v>747</v>
      </c>
    </row>
    <row r="176" spans="1:2" ht="20" thickBot="1" x14ac:dyDescent="0.4">
      <c r="A176" s="107"/>
      <c r="B176" s="108" t="s">
        <v>591</v>
      </c>
    </row>
    <row r="177" spans="2:2" ht="174.5" thickTop="1" x14ac:dyDescent="0.35">
      <c r="B177" s="103" t="s">
        <v>748</v>
      </c>
    </row>
  </sheetData>
  <sheetProtection algorithmName="SHA-256" hashValue="t9bQwT84Rc+fycw1ayaVEhFCFbBDm6cQVRIaIL3Snj8=" saltValue="0scUG0gBCsFmtpxKwyoUd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315"/>
  <sheetViews>
    <sheetView zoomScale="85" zoomScaleNormal="115" workbookViewId="0">
      <selection activeCell="C69" sqref="C69"/>
    </sheetView>
  </sheetViews>
  <sheetFormatPr defaultColWidth="9.1796875" defaultRowHeight="14.5" zeroHeight="1" x14ac:dyDescent="0.35"/>
  <cols>
    <col min="1" max="1" width="9.1796875" style="1"/>
    <col min="2" max="2" width="94" style="1" bestFit="1" customWidth="1"/>
    <col min="3" max="3" width="27.26953125" style="1" customWidth="1"/>
    <col min="5" max="5" width="34.81640625" customWidth="1"/>
  </cols>
  <sheetData>
    <row r="1" spans="1:10" ht="16" thickBot="1" x14ac:dyDescent="0.4">
      <c r="A1" s="6"/>
      <c r="B1" s="264" t="s">
        <v>731</v>
      </c>
      <c r="C1" s="264"/>
      <c r="D1" s="12"/>
    </row>
    <row r="2" spans="1:10" ht="15.5" x14ac:dyDescent="0.35">
      <c r="A2" s="7"/>
      <c r="B2" s="265" t="str">
        <f>Summary!C60</f>
        <v>Australian Criminal Intelligence Commission</v>
      </c>
      <c r="C2" s="266"/>
      <c r="D2" s="13"/>
    </row>
    <row r="3" spans="1:10" ht="16" thickBot="1" x14ac:dyDescent="0.4">
      <c r="A3" s="7"/>
      <c r="B3" s="267" t="str">
        <f>Summary!C61</f>
        <v>11 259 448 410</v>
      </c>
      <c r="C3" s="268"/>
      <c r="D3" s="13"/>
    </row>
    <row r="4" spans="1:10" ht="15.75" customHeight="1" thickBot="1" x14ac:dyDescent="0.4">
      <c r="A4" s="8"/>
      <c r="B4" s="63"/>
      <c r="C4" s="63"/>
      <c r="D4" s="14"/>
    </row>
    <row r="5" spans="1:10" s="16" customFormat="1" ht="6.75" customHeight="1" thickBot="1" x14ac:dyDescent="0.4">
      <c r="A5" s="3"/>
      <c r="B5" s="66"/>
      <c r="C5" s="66"/>
      <c r="D5" s="3"/>
      <c r="E5" s="64"/>
    </row>
    <row r="6" spans="1:10" ht="15.75" customHeight="1" thickBot="1" x14ac:dyDescent="0.4">
      <c r="A6" s="6"/>
      <c r="B6" s="263" t="s">
        <v>109</v>
      </c>
      <c r="C6" s="263"/>
      <c r="D6" s="9"/>
    </row>
    <row r="7" spans="1:10" ht="344.25" customHeight="1" thickBot="1" x14ac:dyDescent="0.4">
      <c r="A7" s="7"/>
      <c r="B7" s="271" t="s">
        <v>130</v>
      </c>
      <c r="C7" s="272"/>
      <c r="D7" s="10"/>
      <c r="E7" s="65"/>
      <c r="F7" s="16"/>
      <c r="G7" s="16"/>
      <c r="H7" s="16"/>
      <c r="I7" s="16"/>
      <c r="J7" s="16"/>
    </row>
    <row r="8" spans="1:10" s="16" customFormat="1" ht="15.75" customHeight="1" thickBot="1" x14ac:dyDescent="0.4">
      <c r="A8" s="8"/>
      <c r="B8" s="15"/>
      <c r="C8" s="15"/>
      <c r="D8" s="11"/>
      <c r="E8" s="65"/>
    </row>
    <row r="9" spans="1:10" s="16" customFormat="1" ht="6.75" customHeight="1" thickBot="1" x14ac:dyDescent="0.4">
      <c r="A9" s="3"/>
      <c r="B9" s="66"/>
      <c r="C9" s="66"/>
      <c r="D9" s="3"/>
      <c r="E9" s="64"/>
    </row>
    <row r="10" spans="1:10" ht="15" thickBot="1" x14ac:dyDescent="0.4">
      <c r="A10" s="6"/>
      <c r="B10" s="270" t="s">
        <v>41</v>
      </c>
      <c r="C10" s="270"/>
      <c r="D10" s="12"/>
    </row>
    <row r="11" spans="1:10" x14ac:dyDescent="0.35">
      <c r="A11" s="7"/>
      <c r="B11" s="17" t="s">
        <v>12</v>
      </c>
      <c r="C11" s="18">
        <f>C12+C13</f>
        <v>7257778</v>
      </c>
      <c r="D11" s="13"/>
    </row>
    <row r="12" spans="1:10" x14ac:dyDescent="0.35">
      <c r="A12" s="7"/>
      <c r="B12" s="19" t="s">
        <v>13</v>
      </c>
      <c r="C12" s="20">
        <f>Summary!$C$66</f>
        <v>5644130</v>
      </c>
      <c r="D12" s="13"/>
    </row>
    <row r="13" spans="1:10" ht="15" thickBot="1" x14ac:dyDescent="0.4">
      <c r="A13" s="7"/>
      <c r="B13" s="21" t="s">
        <v>42</v>
      </c>
      <c r="C13" s="22">
        <f>C76</f>
        <v>1613648</v>
      </c>
      <c r="D13" s="13"/>
    </row>
    <row r="14" spans="1:10" ht="15" thickBot="1" x14ac:dyDescent="0.4">
      <c r="A14" s="8"/>
      <c r="B14" s="24"/>
      <c r="C14" s="23"/>
      <c r="D14" s="14"/>
    </row>
    <row r="15" spans="1:10" ht="6.75" customHeight="1" thickBot="1" x14ac:dyDescent="0.4">
      <c r="B15" s="25"/>
      <c r="C15" s="26"/>
    </row>
    <row r="16" spans="1:10" ht="15" thickBot="1" x14ac:dyDescent="0.4">
      <c r="A16" s="6"/>
      <c r="B16" s="275" t="s">
        <v>45</v>
      </c>
      <c r="C16" s="275"/>
      <c r="D16" s="12"/>
    </row>
    <row r="17" spans="1:5" ht="48.75" customHeight="1" x14ac:dyDescent="0.35">
      <c r="A17" s="7"/>
      <c r="B17" s="273" t="s">
        <v>752</v>
      </c>
      <c r="C17" s="274"/>
      <c r="D17" s="13"/>
    </row>
    <row r="18" spans="1:5" ht="15" thickBot="1" x14ac:dyDescent="0.4">
      <c r="A18" s="7"/>
      <c r="B18" s="36" t="s">
        <v>44</v>
      </c>
      <c r="C18" s="40"/>
      <c r="D18" s="13"/>
    </row>
    <row r="19" spans="1:5" x14ac:dyDescent="0.35">
      <c r="A19" s="7"/>
      <c r="B19" s="27" t="s">
        <v>18</v>
      </c>
      <c r="C19" s="59">
        <f>Summary!$C$97</f>
        <v>1</v>
      </c>
      <c r="D19" s="13"/>
    </row>
    <row r="20" spans="1:5" x14ac:dyDescent="0.35">
      <c r="A20" s="7"/>
      <c r="B20" s="27" t="s">
        <v>20</v>
      </c>
      <c r="C20" s="59">
        <f>Summary!$C$99</f>
        <v>10</v>
      </c>
      <c r="D20" s="13"/>
    </row>
    <row r="21" spans="1:5" x14ac:dyDescent="0.35">
      <c r="A21" s="7"/>
      <c r="B21" s="32" t="s">
        <v>49</v>
      </c>
      <c r="C21" s="59">
        <f>Summary!$C$101</f>
        <v>0</v>
      </c>
      <c r="D21" s="10"/>
      <c r="E21" s="1"/>
    </row>
    <row r="22" spans="1:5" x14ac:dyDescent="0.35">
      <c r="A22" s="7"/>
      <c r="B22" s="27" t="s">
        <v>19</v>
      </c>
      <c r="C22" s="60">
        <f>Summary!$C$104</f>
        <v>5</v>
      </c>
      <c r="D22" s="10"/>
      <c r="E22" s="1"/>
    </row>
    <row r="23" spans="1:5" x14ac:dyDescent="0.35">
      <c r="A23" s="7"/>
      <c r="B23" s="27" t="s">
        <v>21</v>
      </c>
      <c r="C23" s="60">
        <f>Summary!$C$106</f>
        <v>4</v>
      </c>
      <c r="D23" s="10"/>
      <c r="E23" s="1"/>
    </row>
    <row r="24" spans="1:5" x14ac:dyDescent="0.35">
      <c r="A24" s="7"/>
      <c r="B24" s="27" t="s">
        <v>50</v>
      </c>
      <c r="C24" s="60">
        <f>Summary!$C$108</f>
        <v>0</v>
      </c>
      <c r="D24" s="10"/>
      <c r="E24" s="1"/>
    </row>
    <row r="25" spans="1:5" ht="15" thickBot="1" x14ac:dyDescent="0.4">
      <c r="A25" s="7"/>
      <c r="B25" s="41" t="s">
        <v>43</v>
      </c>
      <c r="C25" s="42"/>
      <c r="D25" s="10"/>
      <c r="E25" s="1"/>
    </row>
    <row r="26" spans="1:5" x14ac:dyDescent="0.35">
      <c r="A26" s="7"/>
      <c r="B26" s="28" t="s">
        <v>22</v>
      </c>
      <c r="C26" s="29">
        <f>Summary!$C$98</f>
        <v>1312</v>
      </c>
      <c r="D26" s="10"/>
      <c r="E26" s="1"/>
    </row>
    <row r="27" spans="1:5" x14ac:dyDescent="0.35">
      <c r="A27" s="7"/>
      <c r="B27" s="28" t="s">
        <v>24</v>
      </c>
      <c r="C27" s="29">
        <f>Summary!$C$100</f>
        <v>185779</v>
      </c>
      <c r="D27" s="10"/>
      <c r="E27" s="1"/>
    </row>
    <row r="28" spans="1:5" x14ac:dyDescent="0.35">
      <c r="A28" s="7"/>
      <c r="B28" s="33" t="s">
        <v>51</v>
      </c>
      <c r="C28" s="29">
        <f>Summary!$C$102</f>
        <v>0</v>
      </c>
      <c r="D28" s="10"/>
      <c r="E28" s="1"/>
    </row>
    <row r="29" spans="1:5" x14ac:dyDescent="0.35">
      <c r="A29" s="7"/>
      <c r="B29" s="28" t="s">
        <v>23</v>
      </c>
      <c r="C29" s="30">
        <f>Summary!$C$105</f>
        <v>59412</v>
      </c>
      <c r="D29" s="10"/>
      <c r="E29" s="1"/>
    </row>
    <row r="30" spans="1:5" x14ac:dyDescent="0.35">
      <c r="A30" s="7"/>
      <c r="B30" s="28" t="s">
        <v>25</v>
      </c>
      <c r="C30" s="30">
        <f>Summary!$C$107</f>
        <v>66098</v>
      </c>
      <c r="D30" s="10"/>
      <c r="E30" s="1"/>
    </row>
    <row r="31" spans="1:5" ht="15" thickBot="1" x14ac:dyDescent="0.4">
      <c r="A31" s="7"/>
      <c r="B31" s="31" t="s">
        <v>52</v>
      </c>
      <c r="C31" s="30">
        <f>Summary!$C$109</f>
        <v>0</v>
      </c>
      <c r="D31" s="10"/>
      <c r="E31" s="1"/>
    </row>
    <row r="32" spans="1:5" ht="6.75" customHeight="1" x14ac:dyDescent="0.35">
      <c r="A32" s="7"/>
      <c r="B32" s="61"/>
      <c r="C32" s="62"/>
      <c r="D32" s="10"/>
      <c r="E32" s="1"/>
    </row>
    <row r="33" spans="1:5" ht="15" thickBot="1" x14ac:dyDescent="0.4">
      <c r="A33" s="7"/>
      <c r="B33" s="276" t="s">
        <v>46</v>
      </c>
      <c r="C33" s="276"/>
      <c r="D33" s="10"/>
      <c r="E33" s="1"/>
    </row>
    <row r="34" spans="1:5" ht="15" thickBot="1" x14ac:dyDescent="0.4">
      <c r="A34" s="7"/>
      <c r="B34" s="43" t="s">
        <v>44</v>
      </c>
      <c r="C34" s="44"/>
      <c r="D34" s="10"/>
      <c r="E34" s="1"/>
    </row>
    <row r="35" spans="1:5" x14ac:dyDescent="0.35">
      <c r="A35" s="7"/>
      <c r="B35" s="27" t="s">
        <v>26</v>
      </c>
      <c r="C35" s="59">
        <f>Summary!$C$79</f>
        <v>7</v>
      </c>
      <c r="D35" s="10"/>
      <c r="E35" s="1"/>
    </row>
    <row r="36" spans="1:5" x14ac:dyDescent="0.35">
      <c r="A36" s="7"/>
      <c r="B36" s="27" t="s">
        <v>28</v>
      </c>
      <c r="C36" s="59">
        <f>Summary!$C$81</f>
        <v>2</v>
      </c>
      <c r="D36" s="10"/>
      <c r="E36" s="1"/>
    </row>
    <row r="37" spans="1:5" x14ac:dyDescent="0.35">
      <c r="A37" s="7"/>
      <c r="B37" s="32" t="s">
        <v>53</v>
      </c>
      <c r="C37" s="59">
        <f>Summary!$C$83</f>
        <v>0</v>
      </c>
      <c r="D37" s="10"/>
      <c r="E37" s="1"/>
    </row>
    <row r="38" spans="1:5" x14ac:dyDescent="0.35">
      <c r="A38" s="7"/>
      <c r="B38" s="27" t="s">
        <v>27</v>
      </c>
      <c r="C38" s="60">
        <f>Summary!$C$86</f>
        <v>5</v>
      </c>
      <c r="D38" s="10"/>
      <c r="E38" s="1"/>
    </row>
    <row r="39" spans="1:5" x14ac:dyDescent="0.35">
      <c r="A39" s="7"/>
      <c r="B39" s="27" t="s">
        <v>29</v>
      </c>
      <c r="C39" s="60">
        <f>Summary!$C$88</f>
        <v>7</v>
      </c>
      <c r="D39" s="10"/>
      <c r="E39" s="1"/>
    </row>
    <row r="40" spans="1:5" x14ac:dyDescent="0.35">
      <c r="A40" s="7"/>
      <c r="B40" s="32" t="s">
        <v>54</v>
      </c>
      <c r="C40" s="60">
        <f>Summary!$C$90</f>
        <v>0</v>
      </c>
      <c r="D40" s="10"/>
      <c r="E40" s="1"/>
    </row>
    <row r="41" spans="1:5" ht="15" thickBot="1" x14ac:dyDescent="0.4">
      <c r="A41" s="7"/>
      <c r="B41" s="45" t="s">
        <v>43</v>
      </c>
      <c r="C41" s="42"/>
      <c r="D41" s="10"/>
      <c r="E41" s="1"/>
    </row>
    <row r="42" spans="1:5" x14ac:dyDescent="0.35">
      <c r="A42" s="7"/>
      <c r="B42" s="27" t="s">
        <v>30</v>
      </c>
      <c r="C42" s="29">
        <f>Summary!$C$80</f>
        <v>6716</v>
      </c>
      <c r="D42" s="10"/>
      <c r="E42" s="1"/>
    </row>
    <row r="43" spans="1:5" x14ac:dyDescent="0.35">
      <c r="A43" s="7"/>
      <c r="B43" s="27" t="s">
        <v>32</v>
      </c>
      <c r="C43" s="29">
        <f>Summary!$C$82</f>
        <v>6745</v>
      </c>
      <c r="D43" s="10"/>
      <c r="E43" s="1"/>
    </row>
    <row r="44" spans="1:5" x14ac:dyDescent="0.35">
      <c r="A44" s="7"/>
      <c r="B44" s="27" t="s">
        <v>55</v>
      </c>
      <c r="C44" s="29">
        <f>Summary!$C$84</f>
        <v>0</v>
      </c>
      <c r="D44" s="10"/>
      <c r="E44" s="1"/>
    </row>
    <row r="45" spans="1:5" x14ac:dyDescent="0.35">
      <c r="A45" s="7"/>
      <c r="B45" s="27" t="s">
        <v>31</v>
      </c>
      <c r="C45" s="30">
        <f>Summary!$C$87</f>
        <v>65213</v>
      </c>
      <c r="D45" s="10"/>
      <c r="E45" s="1"/>
    </row>
    <row r="46" spans="1:5" x14ac:dyDescent="0.35">
      <c r="A46" s="7"/>
      <c r="B46" s="27" t="s">
        <v>33</v>
      </c>
      <c r="C46" s="30">
        <f>Summary!$C$89</f>
        <v>69587</v>
      </c>
      <c r="D46" s="10"/>
      <c r="E46" s="1"/>
    </row>
    <row r="47" spans="1:5" x14ac:dyDescent="0.35">
      <c r="A47" s="7"/>
      <c r="B47" s="27" t="s">
        <v>56</v>
      </c>
      <c r="C47" s="30">
        <f>Summary!$C$91</f>
        <v>0</v>
      </c>
      <c r="D47" s="10"/>
      <c r="E47" s="1"/>
    </row>
    <row r="48" spans="1:5" ht="15" thickBot="1" x14ac:dyDescent="0.4">
      <c r="A48" s="7"/>
      <c r="B48" s="39" t="s">
        <v>38</v>
      </c>
      <c r="C48" s="22">
        <f>SUM(C26:C31,C42:C47)</f>
        <v>460862</v>
      </c>
      <c r="D48" s="10"/>
      <c r="E48" s="1"/>
    </row>
    <row r="49" spans="1:10" ht="15" thickBot="1" x14ac:dyDescent="0.4">
      <c r="A49" s="8"/>
      <c r="B49" s="37"/>
      <c r="C49" s="38"/>
      <c r="D49" s="11"/>
      <c r="E49" s="1"/>
    </row>
    <row r="50" spans="1:10" ht="6.75" customHeight="1" thickBot="1" x14ac:dyDescent="0.4">
      <c r="B50" s="46"/>
      <c r="C50" s="47"/>
      <c r="D50" s="1"/>
      <c r="E50" s="1"/>
    </row>
    <row r="51" spans="1:10" ht="15" thickBot="1" x14ac:dyDescent="0.4">
      <c r="A51" s="6"/>
      <c r="B51" s="275" t="s">
        <v>47</v>
      </c>
      <c r="C51" s="275"/>
      <c r="D51" s="9"/>
      <c r="E51" s="1"/>
    </row>
    <row r="52" spans="1:10" ht="15" thickBot="1" x14ac:dyDescent="0.4">
      <c r="A52" s="7"/>
      <c r="B52" s="49" t="s">
        <v>48</v>
      </c>
      <c r="C52" s="58">
        <f>Summary!$C$116</f>
        <v>29069</v>
      </c>
      <c r="D52" s="10"/>
      <c r="E52" s="1"/>
    </row>
    <row r="53" spans="1:10" ht="15" thickBot="1" x14ac:dyDescent="0.4">
      <c r="A53" s="8"/>
      <c r="B53" s="48"/>
      <c r="C53" s="23"/>
      <c r="D53" s="11"/>
      <c r="E53" s="1"/>
    </row>
    <row r="54" spans="1:10" ht="6.75" customHeight="1" thickBot="1" x14ac:dyDescent="0.4">
      <c r="B54" s="35"/>
      <c r="C54" s="34"/>
      <c r="D54" s="1"/>
      <c r="E54" s="1"/>
    </row>
    <row r="55" spans="1:10" ht="15" thickBot="1" x14ac:dyDescent="0.4">
      <c r="A55" s="6"/>
      <c r="B55" s="258" t="s">
        <v>120</v>
      </c>
      <c r="C55" s="258"/>
      <c r="D55" s="84"/>
      <c r="E55" s="1"/>
    </row>
    <row r="56" spans="1:10" ht="39.65" customHeight="1" thickBot="1" x14ac:dyDescent="0.4">
      <c r="A56" s="7"/>
      <c r="B56" s="259" t="s">
        <v>126</v>
      </c>
      <c r="C56" s="260"/>
      <c r="D56" s="13"/>
      <c r="E56" s="1"/>
    </row>
    <row r="57" spans="1:10" ht="15" thickBot="1" x14ac:dyDescent="0.4">
      <c r="A57" s="7"/>
      <c r="B57" s="85"/>
      <c r="C57" s="85"/>
      <c r="D57" s="13"/>
      <c r="E57" s="1"/>
    </row>
    <row r="58" spans="1:10" ht="15" thickBot="1" x14ac:dyDescent="0.4">
      <c r="A58" s="7"/>
      <c r="B58" s="87" t="s">
        <v>113</v>
      </c>
      <c r="C58" s="88">
        <f>SUM('A - Professional Fees'!C:C)</f>
        <v>1123717</v>
      </c>
      <c r="D58" s="13"/>
      <c r="E58" s="1"/>
    </row>
    <row r="59" spans="1:10" ht="15" thickBot="1" x14ac:dyDescent="0.4">
      <c r="A59" s="8"/>
      <c r="B59" s="15"/>
      <c r="C59" s="15"/>
      <c r="D59" s="14"/>
      <c r="E59" s="1"/>
    </row>
    <row r="60" spans="1:10" ht="6.75" customHeight="1" thickBot="1" x14ac:dyDescent="0.4">
      <c r="B60" s="46"/>
      <c r="C60" s="47"/>
      <c r="D60" s="1"/>
      <c r="E60" s="1"/>
    </row>
    <row r="61" spans="1:10" ht="15" thickBot="1" x14ac:dyDescent="0.4">
      <c r="A61" s="6"/>
      <c r="B61" s="277" t="s">
        <v>117</v>
      </c>
      <c r="C61" s="277"/>
      <c r="D61" s="9"/>
      <c r="E61" s="3"/>
    </row>
    <row r="62" spans="1:10" ht="141.75" customHeight="1" thickBot="1" x14ac:dyDescent="0.4">
      <c r="A62" s="7"/>
      <c r="B62" s="259" t="s">
        <v>121</v>
      </c>
      <c r="C62" s="260"/>
      <c r="D62" s="10"/>
      <c r="E62" s="80"/>
      <c r="F62" s="16"/>
      <c r="G62" s="16"/>
      <c r="H62" s="16"/>
      <c r="I62" s="16"/>
      <c r="J62" s="16"/>
    </row>
    <row r="63" spans="1:10" ht="15" thickBot="1" x14ac:dyDescent="0.4">
      <c r="A63" s="7"/>
      <c r="B63" s="67"/>
      <c r="C63" s="67"/>
      <c r="D63" s="10"/>
      <c r="E63" s="3"/>
    </row>
    <row r="64" spans="1:10" ht="15" thickBot="1" x14ac:dyDescent="0.4">
      <c r="A64" s="7"/>
      <c r="B64" s="70" t="s">
        <v>111</v>
      </c>
      <c r="C64" s="71"/>
      <c r="D64" s="10"/>
      <c r="E64" s="3"/>
    </row>
    <row r="65" spans="1:14" ht="15.75" customHeight="1" x14ac:dyDescent="0.35">
      <c r="A65" s="69"/>
      <c r="B65" s="79" t="s">
        <v>119</v>
      </c>
      <c r="C65" s="105" t="str">
        <f>Summary!$C$120</f>
        <v>Yes</v>
      </c>
      <c r="D65" s="10"/>
      <c r="E65" s="3"/>
    </row>
    <row r="66" spans="1:14" ht="15" thickBot="1" x14ac:dyDescent="0.4">
      <c r="A66" s="7"/>
      <c r="B66" s="82" t="s">
        <v>753</v>
      </c>
      <c r="C66" s="83">
        <f>Summary!C121</f>
        <v>724.40114028360006</v>
      </c>
      <c r="D66" s="10"/>
      <c r="E66" s="16"/>
      <c r="F66" s="16"/>
      <c r="G66" s="16"/>
      <c r="H66" s="16"/>
      <c r="I66" s="16"/>
      <c r="J66" s="16"/>
    </row>
    <row r="67" spans="1:14" ht="15" thickBot="1" x14ac:dyDescent="0.4">
      <c r="A67" s="7"/>
      <c r="B67" s="5"/>
      <c r="C67" s="5"/>
      <c r="D67" s="10"/>
      <c r="E67" s="16"/>
      <c r="F67" s="16"/>
      <c r="G67" s="16"/>
      <c r="H67" s="16"/>
      <c r="I67" s="16"/>
      <c r="J67" s="16"/>
      <c r="K67" s="16"/>
      <c r="L67" s="16"/>
      <c r="M67" s="16"/>
      <c r="N67" s="16"/>
    </row>
    <row r="68" spans="1:14" ht="15" thickBot="1" x14ac:dyDescent="0.4">
      <c r="A68" s="7"/>
      <c r="B68" s="70" t="s">
        <v>118</v>
      </c>
      <c r="C68" s="72"/>
      <c r="D68" s="10"/>
      <c r="E68" s="3"/>
      <c r="F68" s="16"/>
      <c r="G68" s="16"/>
      <c r="H68" s="16"/>
      <c r="I68" s="16"/>
      <c r="J68" s="16"/>
      <c r="K68" s="16"/>
      <c r="L68" s="16"/>
      <c r="M68" s="16"/>
      <c r="N68" s="16"/>
    </row>
    <row r="69" spans="1:14" x14ac:dyDescent="0.35">
      <c r="A69" s="7"/>
      <c r="B69" s="64" t="s">
        <v>112</v>
      </c>
      <c r="C69" s="20">
        <f>Summary!$C$123</f>
        <v>0</v>
      </c>
      <c r="D69" s="10"/>
      <c r="E69" s="3"/>
    </row>
    <row r="70" spans="1:14" ht="15" thickBot="1" x14ac:dyDescent="0.4">
      <c r="A70" s="7"/>
      <c r="B70" s="81" t="s">
        <v>110</v>
      </c>
      <c r="C70" s="83">
        <f>Summary!$C$124</f>
        <v>0</v>
      </c>
      <c r="D70" s="10"/>
      <c r="E70" s="3"/>
    </row>
    <row r="71" spans="1:14" ht="15" thickBot="1" x14ac:dyDescent="0.4">
      <c r="A71" s="8"/>
      <c r="B71" s="50"/>
      <c r="C71" s="51"/>
      <c r="D71" s="11"/>
      <c r="E71" s="3"/>
    </row>
    <row r="72" spans="1:14" ht="6.75" customHeight="1" thickBot="1" x14ac:dyDescent="0.4">
      <c r="B72" s="46"/>
      <c r="C72" s="47"/>
      <c r="D72" s="1"/>
      <c r="E72" s="1"/>
    </row>
    <row r="73" spans="1:14" ht="15" thickBot="1" x14ac:dyDescent="0.4">
      <c r="A73" s="6"/>
      <c r="B73" s="269" t="s">
        <v>41</v>
      </c>
      <c r="C73" s="269"/>
      <c r="D73" s="9"/>
      <c r="E73" s="3"/>
    </row>
    <row r="74" spans="1:14" x14ac:dyDescent="0.35">
      <c r="A74" s="7"/>
      <c r="B74" s="53" t="s">
        <v>37</v>
      </c>
      <c r="C74" s="76">
        <f>C75+C76</f>
        <v>7257778</v>
      </c>
      <c r="D74" s="10"/>
      <c r="E74" s="1"/>
    </row>
    <row r="75" spans="1:14" x14ac:dyDescent="0.35">
      <c r="A75" s="7"/>
      <c r="B75" s="54" t="s">
        <v>34</v>
      </c>
      <c r="C75" s="77">
        <f>C12</f>
        <v>5644130</v>
      </c>
      <c r="D75" s="10"/>
      <c r="E75" s="1"/>
    </row>
    <row r="76" spans="1:14" x14ac:dyDescent="0.35">
      <c r="A76" s="7"/>
      <c r="B76" s="54" t="s">
        <v>35</v>
      </c>
      <c r="C76" s="77">
        <f>SUM(C48+C52+C58)</f>
        <v>1613648</v>
      </c>
      <c r="D76" s="10"/>
      <c r="E76" s="1"/>
    </row>
    <row r="77" spans="1:14" x14ac:dyDescent="0.35">
      <c r="A77" s="7"/>
      <c r="B77" s="55" t="s">
        <v>36</v>
      </c>
      <c r="C77" s="77">
        <f>C48</f>
        <v>460862</v>
      </c>
      <c r="D77" s="10"/>
      <c r="E77" s="1"/>
    </row>
    <row r="78" spans="1:14" x14ac:dyDescent="0.35">
      <c r="A78" s="7"/>
      <c r="B78" s="55" t="s">
        <v>39</v>
      </c>
      <c r="C78" s="77">
        <f>SUM(C26,C29,C42,C45)</f>
        <v>132653</v>
      </c>
      <c r="D78" s="10"/>
      <c r="E78" s="1"/>
    </row>
    <row r="79" spans="1:14" x14ac:dyDescent="0.35">
      <c r="A79" s="7"/>
      <c r="B79" s="55" t="s">
        <v>40</v>
      </c>
      <c r="C79" s="77">
        <f>SUM(C27,C30,C43,C46)</f>
        <v>328209</v>
      </c>
      <c r="D79" s="10"/>
      <c r="E79" s="1"/>
    </row>
    <row r="80" spans="1:14" x14ac:dyDescent="0.35">
      <c r="A80" s="7"/>
      <c r="B80" s="57" t="s">
        <v>107</v>
      </c>
      <c r="C80" s="77">
        <f>SUM(C28,C31,C44,C47)</f>
        <v>0</v>
      </c>
      <c r="D80" s="10"/>
      <c r="E80" s="1"/>
    </row>
    <row r="81" spans="1:10" x14ac:dyDescent="0.35">
      <c r="A81" s="7"/>
      <c r="B81" s="55" t="s">
        <v>108</v>
      </c>
      <c r="C81" s="77">
        <f>C52</f>
        <v>29069</v>
      </c>
      <c r="D81" s="10"/>
      <c r="E81" s="1"/>
    </row>
    <row r="82" spans="1:10" x14ac:dyDescent="0.35">
      <c r="A82" s="7"/>
      <c r="B82" s="55" t="s">
        <v>114</v>
      </c>
      <c r="C82" s="77">
        <f>C58</f>
        <v>1123717</v>
      </c>
      <c r="D82" s="10"/>
      <c r="E82" s="3"/>
      <c r="F82" s="16"/>
      <c r="G82" s="16"/>
      <c r="H82" s="16"/>
      <c r="I82" s="16"/>
      <c r="J82" s="16"/>
    </row>
    <row r="83" spans="1:10" x14ac:dyDescent="0.35">
      <c r="A83" s="7"/>
      <c r="B83" s="55" t="s">
        <v>115</v>
      </c>
      <c r="C83" s="77">
        <f>C69</f>
        <v>0</v>
      </c>
      <c r="D83" s="10"/>
      <c r="E83" s="3"/>
      <c r="F83" s="16"/>
      <c r="G83" s="16"/>
      <c r="H83" s="16"/>
      <c r="I83" s="16"/>
      <c r="J83" s="16"/>
    </row>
    <row r="84" spans="1:10" x14ac:dyDescent="0.35">
      <c r="A84" s="7"/>
      <c r="B84" s="55" t="s">
        <v>116</v>
      </c>
      <c r="C84" s="77">
        <f>C70</f>
        <v>0</v>
      </c>
      <c r="D84" s="10"/>
      <c r="E84" s="3"/>
      <c r="F84" s="16"/>
      <c r="G84" s="16"/>
      <c r="H84" s="16"/>
      <c r="I84" s="16"/>
      <c r="J84" s="16"/>
    </row>
    <row r="85" spans="1:10" ht="15" thickBot="1" x14ac:dyDescent="0.4">
      <c r="A85" s="7"/>
      <c r="B85" s="56" t="s">
        <v>17</v>
      </c>
      <c r="C85" s="78">
        <f>SUM(C19:C24,C35:C40)</f>
        <v>41</v>
      </c>
      <c r="D85" s="10"/>
      <c r="E85" s="1"/>
    </row>
    <row r="86" spans="1:10" ht="15" thickBot="1" x14ac:dyDescent="0.4">
      <c r="A86" s="8"/>
      <c r="B86" s="15"/>
      <c r="C86" s="15"/>
      <c r="D86" s="11"/>
      <c r="E86" s="1"/>
    </row>
    <row r="87" spans="1:10" s="16" customFormat="1" ht="6.75" customHeight="1" thickBot="1" x14ac:dyDescent="0.4">
      <c r="A87" s="64"/>
      <c r="B87" s="73"/>
      <c r="C87" s="75"/>
      <c r="D87" s="74"/>
      <c r="E87" s="3"/>
    </row>
    <row r="88" spans="1:10" ht="15" thickBot="1" x14ac:dyDescent="0.4">
      <c r="A88" s="6"/>
      <c r="B88" s="269" t="s">
        <v>10</v>
      </c>
      <c r="C88" s="269"/>
      <c r="D88" s="9"/>
      <c r="E88" s="1"/>
    </row>
    <row r="89" spans="1:10" ht="29.25" customHeight="1" thickBot="1" x14ac:dyDescent="0.4">
      <c r="A89" s="7"/>
      <c r="B89" s="261" t="str">
        <f>IF(Summary!$B$54="Report complete",Summary!$B$45,"[Please outline in this cell any comment or analysis you wish to give about the data you have provided on counsel briefs or expenditure (optional to complete)]")</f>
        <v>The increase in internal legal expenditure is primarily attributed to recruitment and associated travel costs for the Counsel Assisting Team, Examinations Branch.  The increase in external legal expenditure is primarily attributed to multiple contempt proceedings being brought by the ACIC against examinees who failed to comply with an Examiner's direction (and associated appeals and re-sentence hearings).</v>
      </c>
      <c r="C89" s="262"/>
      <c r="D89" s="10"/>
      <c r="E89" s="1"/>
    </row>
    <row r="90" spans="1:10" ht="15" thickBot="1" x14ac:dyDescent="0.4">
      <c r="A90" s="8"/>
      <c r="B90" s="52"/>
      <c r="C90" s="52"/>
      <c r="D90" s="11"/>
      <c r="E90" s="1"/>
    </row>
    <row r="91" spans="1:10" ht="15.5" x14ac:dyDescent="0.35">
      <c r="B91" s="4"/>
      <c r="C91"/>
      <c r="D91" s="1"/>
      <c r="E91" s="1"/>
    </row>
    <row r="92" spans="1:10" hidden="1" x14ac:dyDescent="0.35">
      <c r="B92"/>
      <c r="C92"/>
      <c r="D92" s="1"/>
      <c r="E92" s="1"/>
    </row>
    <row r="93" spans="1:10" hidden="1" x14ac:dyDescent="0.35">
      <c r="D93" s="1"/>
      <c r="E93" s="1"/>
    </row>
    <row r="94" spans="1:10" hidden="1" x14ac:dyDescent="0.35">
      <c r="B94"/>
      <c r="C94"/>
      <c r="D94" s="1"/>
      <c r="E94" s="1"/>
    </row>
    <row r="95" spans="1:10" hidden="1" x14ac:dyDescent="0.35">
      <c r="B95"/>
      <c r="C95"/>
      <c r="D95" s="1"/>
      <c r="E95" s="1"/>
    </row>
    <row r="96" spans="1:10" hidden="1" x14ac:dyDescent="0.35">
      <c r="B96"/>
      <c r="C96"/>
      <c r="D96" s="1"/>
      <c r="E96" s="1"/>
    </row>
    <row r="97" spans="1:5" ht="29.25" hidden="1" customHeight="1" x14ac:dyDescent="0.35">
      <c r="B97"/>
      <c r="C97"/>
      <c r="E97" s="1"/>
    </row>
    <row r="98" spans="1:5" hidden="1" x14ac:dyDescent="0.35">
      <c r="B98"/>
      <c r="C98"/>
      <c r="E98" s="1"/>
    </row>
    <row r="99" spans="1:5" hidden="1" x14ac:dyDescent="0.35">
      <c r="B99"/>
      <c r="C99"/>
      <c r="E99" s="1"/>
    </row>
    <row r="100" spans="1:5" hidden="1" x14ac:dyDescent="0.35">
      <c r="B100"/>
      <c r="C100"/>
      <c r="E100" s="1"/>
    </row>
    <row r="101" spans="1:5" hidden="1" x14ac:dyDescent="0.35">
      <c r="B101"/>
      <c r="C101"/>
      <c r="E101" s="1"/>
    </row>
    <row r="102" spans="1:5" hidden="1" x14ac:dyDescent="0.35">
      <c r="E102" s="1"/>
    </row>
    <row r="103" spans="1:5" hidden="1" x14ac:dyDescent="0.35">
      <c r="E103" s="1"/>
    </row>
    <row r="104" spans="1:5" hidden="1" x14ac:dyDescent="0.35">
      <c r="E104" s="1"/>
    </row>
    <row r="105" spans="1:5" hidden="1" x14ac:dyDescent="0.35">
      <c r="E105" s="1"/>
    </row>
    <row r="106" spans="1:5" hidden="1" x14ac:dyDescent="0.35">
      <c r="E106" s="1"/>
    </row>
    <row r="107" spans="1:5" hidden="1" x14ac:dyDescent="0.35">
      <c r="E107" s="1"/>
    </row>
    <row r="108" spans="1:5" hidden="1" x14ac:dyDescent="0.35">
      <c r="E108" s="1"/>
    </row>
    <row r="109" spans="1:5" hidden="1" x14ac:dyDescent="0.35">
      <c r="B109" s="2"/>
      <c r="C109" s="2"/>
      <c r="E109" s="1"/>
    </row>
    <row r="110" spans="1:5" hidden="1" x14ac:dyDescent="0.35">
      <c r="A110" s="2"/>
      <c r="E110" s="2"/>
    </row>
    <row r="111" spans="1:5" hidden="1" x14ac:dyDescent="0.35">
      <c r="E111" s="1"/>
    </row>
    <row r="112" spans="1:5" hidden="1" x14ac:dyDescent="0.35">
      <c r="E112" s="1"/>
    </row>
    <row r="113" spans="4:5" hidden="1" x14ac:dyDescent="0.35">
      <c r="D113" s="1"/>
      <c r="E113" s="1"/>
    </row>
    <row r="114" spans="4:5" hidden="1" x14ac:dyDescent="0.35">
      <c r="D114" s="1"/>
      <c r="E114" s="1"/>
    </row>
    <row r="115" spans="4:5" hidden="1" x14ac:dyDescent="0.35">
      <c r="D115" s="1"/>
      <c r="E115" s="1"/>
    </row>
    <row r="116" spans="4:5" hidden="1" x14ac:dyDescent="0.35">
      <c r="D116" s="1"/>
      <c r="E116" s="1"/>
    </row>
    <row r="117" spans="4:5" hidden="1" x14ac:dyDescent="0.35">
      <c r="D117" s="1"/>
      <c r="E117" s="1"/>
    </row>
    <row r="118" spans="4:5" hidden="1" x14ac:dyDescent="0.35">
      <c r="D118" s="1"/>
      <c r="E118" s="1"/>
    </row>
    <row r="119" spans="4:5" hidden="1" x14ac:dyDescent="0.35">
      <c r="D119" s="1"/>
      <c r="E119" s="1"/>
    </row>
    <row r="120" spans="4:5" hidden="1" x14ac:dyDescent="0.35">
      <c r="D120" s="1"/>
      <c r="E120" s="1"/>
    </row>
    <row r="121" spans="4:5" hidden="1" x14ac:dyDescent="0.35">
      <c r="D121" s="1"/>
      <c r="E121" s="1"/>
    </row>
    <row r="122" spans="4:5" hidden="1" x14ac:dyDescent="0.35">
      <c r="D122" s="1"/>
      <c r="E122" s="1"/>
    </row>
    <row r="123" spans="4:5" hidden="1" x14ac:dyDescent="0.35">
      <c r="D123" s="1"/>
      <c r="E123" s="1"/>
    </row>
    <row r="124" spans="4:5" hidden="1" x14ac:dyDescent="0.35">
      <c r="D124" s="1"/>
      <c r="E124" s="1"/>
    </row>
    <row r="125" spans="4:5" hidden="1" x14ac:dyDescent="0.35">
      <c r="D125" s="1"/>
      <c r="E125" s="1"/>
    </row>
    <row r="126" spans="4:5" hidden="1" x14ac:dyDescent="0.35">
      <c r="D126" s="1"/>
      <c r="E126" s="1"/>
    </row>
    <row r="127" spans="4:5" hidden="1" x14ac:dyDescent="0.35">
      <c r="D127" s="1"/>
      <c r="E127" s="1"/>
    </row>
    <row r="128" spans="4:5" hidden="1" x14ac:dyDescent="0.35">
      <c r="D128" s="1"/>
      <c r="E128" s="1"/>
    </row>
    <row r="129" spans="4:5" hidden="1" x14ac:dyDescent="0.35">
      <c r="D129" s="1"/>
      <c r="E129" s="1"/>
    </row>
    <row r="130" spans="4:5" hidden="1" x14ac:dyDescent="0.35">
      <c r="D130" s="1"/>
      <c r="E130" s="1"/>
    </row>
    <row r="131" spans="4:5" hidden="1" x14ac:dyDescent="0.35">
      <c r="D131" s="1"/>
      <c r="E131" s="1"/>
    </row>
    <row r="132" spans="4:5" hidden="1" x14ac:dyDescent="0.35">
      <c r="D132" s="1"/>
      <c r="E132" s="1"/>
    </row>
    <row r="133" spans="4:5" hidden="1" x14ac:dyDescent="0.35">
      <c r="D133" s="1"/>
      <c r="E133" s="1"/>
    </row>
    <row r="134" spans="4:5" hidden="1" x14ac:dyDescent="0.35">
      <c r="D134" s="1"/>
      <c r="E134" s="1"/>
    </row>
    <row r="135" spans="4:5" hidden="1" x14ac:dyDescent="0.35">
      <c r="D135" s="1"/>
      <c r="E135" s="1"/>
    </row>
    <row r="136" spans="4:5" hidden="1" x14ac:dyDescent="0.35">
      <c r="D136" s="1"/>
      <c r="E136" s="1"/>
    </row>
    <row r="137" spans="4:5" hidden="1" x14ac:dyDescent="0.35">
      <c r="D137" s="1"/>
      <c r="E137" s="1"/>
    </row>
    <row r="138" spans="4:5" hidden="1" x14ac:dyDescent="0.35">
      <c r="D138" s="1"/>
      <c r="E138" s="1"/>
    </row>
    <row r="139" spans="4:5" hidden="1" x14ac:dyDescent="0.35">
      <c r="D139" s="1"/>
      <c r="E139" s="1"/>
    </row>
    <row r="140" spans="4:5" hidden="1" x14ac:dyDescent="0.35">
      <c r="D140" s="1"/>
      <c r="E140" s="1"/>
    </row>
    <row r="141" spans="4:5" hidden="1" x14ac:dyDescent="0.35">
      <c r="D141" s="1"/>
      <c r="E141" s="1"/>
    </row>
    <row r="142" spans="4:5" hidden="1" x14ac:dyDescent="0.35">
      <c r="D142" s="1"/>
      <c r="E142" s="1"/>
    </row>
    <row r="143" spans="4:5" hidden="1" x14ac:dyDescent="0.35">
      <c r="D143" s="1"/>
      <c r="E143" s="1"/>
    </row>
    <row r="144" spans="4:5" hidden="1" x14ac:dyDescent="0.35">
      <c r="D144" s="1"/>
      <c r="E144" s="1"/>
    </row>
    <row r="145" spans="4:5" hidden="1" x14ac:dyDescent="0.35">
      <c r="D145" s="1"/>
      <c r="E145" s="1"/>
    </row>
    <row r="146" spans="4:5" hidden="1" x14ac:dyDescent="0.35">
      <c r="D146" s="1"/>
      <c r="E146" s="1"/>
    </row>
    <row r="147" spans="4:5" hidden="1" x14ac:dyDescent="0.35">
      <c r="D147" s="1"/>
      <c r="E147" s="1"/>
    </row>
    <row r="148" spans="4:5" hidden="1" x14ac:dyDescent="0.35">
      <c r="D148" s="1"/>
      <c r="E148" s="1"/>
    </row>
    <row r="149" spans="4:5" hidden="1" x14ac:dyDescent="0.35">
      <c r="D149" s="1"/>
      <c r="E149" s="1"/>
    </row>
    <row r="150" spans="4:5" hidden="1" x14ac:dyDescent="0.35">
      <c r="D150" s="1"/>
      <c r="E150" s="1"/>
    </row>
    <row r="151" spans="4:5" hidden="1" x14ac:dyDescent="0.35">
      <c r="D151" s="1"/>
      <c r="E151" s="1"/>
    </row>
    <row r="152" spans="4:5" hidden="1" x14ac:dyDescent="0.35">
      <c r="D152" s="1"/>
      <c r="E152" s="1"/>
    </row>
    <row r="153" spans="4:5" hidden="1" x14ac:dyDescent="0.35">
      <c r="D153" s="1"/>
      <c r="E153" s="1"/>
    </row>
    <row r="154" spans="4:5" hidden="1" x14ac:dyDescent="0.35">
      <c r="D154" s="1"/>
      <c r="E154" s="1"/>
    </row>
    <row r="155" spans="4:5" hidden="1" x14ac:dyDescent="0.35">
      <c r="D155" s="1"/>
      <c r="E155" s="1"/>
    </row>
    <row r="156" spans="4:5" hidden="1" x14ac:dyDescent="0.35">
      <c r="D156" s="1"/>
      <c r="E156" s="1"/>
    </row>
    <row r="157" spans="4:5" hidden="1" x14ac:dyDescent="0.35">
      <c r="D157" s="1"/>
      <c r="E157" s="1"/>
    </row>
    <row r="158" spans="4:5" hidden="1" x14ac:dyDescent="0.35">
      <c r="D158" s="1"/>
      <c r="E158" s="1"/>
    </row>
    <row r="159" spans="4:5" hidden="1" x14ac:dyDescent="0.35">
      <c r="D159" s="1"/>
      <c r="E159" s="1"/>
    </row>
    <row r="160" spans="4:5" hidden="1" x14ac:dyDescent="0.35">
      <c r="D160" s="1"/>
      <c r="E160" s="1"/>
    </row>
    <row r="161" spans="4:5" hidden="1" x14ac:dyDescent="0.35">
      <c r="D161" s="1"/>
      <c r="E161" s="1"/>
    </row>
    <row r="162" spans="4:5" hidden="1" x14ac:dyDescent="0.35">
      <c r="D162" s="1"/>
      <c r="E162" s="1"/>
    </row>
    <row r="163" spans="4:5" hidden="1" x14ac:dyDescent="0.35">
      <c r="D163" s="1"/>
      <c r="E163" s="1"/>
    </row>
    <row r="164" spans="4:5" hidden="1" x14ac:dyDescent="0.35">
      <c r="D164" s="1"/>
      <c r="E164" s="1"/>
    </row>
    <row r="165" spans="4:5" hidden="1" x14ac:dyDescent="0.35">
      <c r="D165" s="1"/>
      <c r="E165" s="1"/>
    </row>
    <row r="166" spans="4:5" hidden="1" x14ac:dyDescent="0.35">
      <c r="D166" s="1"/>
      <c r="E166" s="1"/>
    </row>
    <row r="167" spans="4:5" hidden="1" x14ac:dyDescent="0.35">
      <c r="D167" s="1"/>
      <c r="E167" s="1"/>
    </row>
    <row r="168" spans="4:5" hidden="1" x14ac:dyDescent="0.35">
      <c r="D168" s="1"/>
      <c r="E168" s="1"/>
    </row>
    <row r="169" spans="4:5" hidden="1" x14ac:dyDescent="0.35">
      <c r="D169" s="1"/>
      <c r="E169" s="1"/>
    </row>
    <row r="170" spans="4:5" hidden="1" x14ac:dyDescent="0.35">
      <c r="D170" s="1"/>
      <c r="E170" s="1"/>
    </row>
    <row r="171" spans="4:5" hidden="1" x14ac:dyDescent="0.35">
      <c r="D171" s="1"/>
      <c r="E171" s="1"/>
    </row>
    <row r="172" spans="4:5" hidden="1" x14ac:dyDescent="0.35">
      <c r="D172" s="1"/>
      <c r="E172" s="1"/>
    </row>
    <row r="173" spans="4:5" hidden="1" x14ac:dyDescent="0.35">
      <c r="D173" s="1"/>
      <c r="E173" s="1"/>
    </row>
    <row r="174" spans="4:5" hidden="1" x14ac:dyDescent="0.35">
      <c r="D174" s="1"/>
      <c r="E174" s="1"/>
    </row>
    <row r="175" spans="4:5" hidden="1" x14ac:dyDescent="0.35">
      <c r="D175" s="1"/>
      <c r="E175" s="1"/>
    </row>
    <row r="176" spans="4:5" hidden="1" x14ac:dyDescent="0.35">
      <c r="D176" s="1"/>
      <c r="E176" s="1"/>
    </row>
    <row r="177" spans="4:5" ht="16.5" hidden="1" customHeight="1" x14ac:dyDescent="0.35">
      <c r="D177" s="1"/>
      <c r="E177" s="1"/>
    </row>
    <row r="178" spans="4:5" hidden="1" x14ac:dyDescent="0.35">
      <c r="D178" s="1"/>
      <c r="E178" s="1"/>
    </row>
    <row r="179" spans="4:5" hidden="1" x14ac:dyDescent="0.35">
      <c r="D179" s="1"/>
      <c r="E179" s="1"/>
    </row>
    <row r="180" spans="4:5" hidden="1" x14ac:dyDescent="0.35">
      <c r="D180" s="1"/>
      <c r="E180" s="1"/>
    </row>
    <row r="181" spans="4:5" hidden="1" x14ac:dyDescent="0.35">
      <c r="D181" s="1"/>
      <c r="E181" s="1"/>
    </row>
    <row r="182" spans="4:5" hidden="1" x14ac:dyDescent="0.35">
      <c r="D182" s="1"/>
      <c r="E182" s="1"/>
    </row>
    <row r="183" spans="4:5" hidden="1" x14ac:dyDescent="0.35">
      <c r="D183" s="1"/>
      <c r="E183" s="1"/>
    </row>
    <row r="184" spans="4:5" hidden="1" x14ac:dyDescent="0.35">
      <c r="D184" s="1"/>
      <c r="E184" s="1"/>
    </row>
    <row r="185" spans="4:5" hidden="1" x14ac:dyDescent="0.35">
      <c r="D185" s="1"/>
      <c r="E185" s="1"/>
    </row>
    <row r="186" spans="4:5" hidden="1" x14ac:dyDescent="0.35">
      <c r="D186" s="1"/>
      <c r="E186" s="1"/>
    </row>
    <row r="187" spans="4:5" hidden="1" x14ac:dyDescent="0.35">
      <c r="D187" s="1"/>
      <c r="E187" s="1"/>
    </row>
    <row r="188" spans="4:5" hidden="1" x14ac:dyDescent="0.35">
      <c r="D188" s="1"/>
      <c r="E188" s="1"/>
    </row>
    <row r="189" spans="4:5" hidden="1" x14ac:dyDescent="0.35">
      <c r="D189" s="1"/>
      <c r="E189" s="1"/>
    </row>
    <row r="190" spans="4:5" hidden="1" x14ac:dyDescent="0.35">
      <c r="D190" s="1"/>
      <c r="E190" s="1"/>
    </row>
    <row r="191" spans="4:5" hidden="1" x14ac:dyDescent="0.35">
      <c r="D191" s="1"/>
      <c r="E191" s="1"/>
    </row>
    <row r="192" spans="4:5" hidden="1" x14ac:dyDescent="0.35">
      <c r="D192" s="1"/>
      <c r="E192" s="1"/>
    </row>
    <row r="193" spans="4:5" hidden="1" x14ac:dyDescent="0.35">
      <c r="D193" s="1"/>
      <c r="E193" s="1"/>
    </row>
    <row r="194" spans="4:5" hidden="1" x14ac:dyDescent="0.35">
      <c r="D194" s="1"/>
      <c r="E194" s="1"/>
    </row>
    <row r="195" spans="4:5" hidden="1" x14ac:dyDescent="0.35">
      <c r="D195" s="1"/>
      <c r="E195" s="1"/>
    </row>
    <row r="196" spans="4:5" hidden="1" x14ac:dyDescent="0.35">
      <c r="D196" s="1"/>
      <c r="E196" s="1"/>
    </row>
    <row r="197" spans="4:5" hidden="1" x14ac:dyDescent="0.35">
      <c r="D197" s="1"/>
      <c r="E197" s="1"/>
    </row>
    <row r="198" spans="4:5" hidden="1" x14ac:dyDescent="0.35">
      <c r="D198" s="1"/>
      <c r="E198" s="1"/>
    </row>
    <row r="199" spans="4:5" hidden="1" x14ac:dyDescent="0.35">
      <c r="D199" s="1"/>
      <c r="E199" s="1"/>
    </row>
    <row r="200" spans="4:5" hidden="1" x14ac:dyDescent="0.35">
      <c r="D200" s="1"/>
      <c r="E200" s="1"/>
    </row>
    <row r="201" spans="4:5" hidden="1" x14ac:dyDescent="0.35">
      <c r="D201" s="1"/>
      <c r="E201" s="1"/>
    </row>
    <row r="202" spans="4:5" hidden="1" x14ac:dyDescent="0.35">
      <c r="D202" s="1"/>
      <c r="E202" s="1"/>
    </row>
    <row r="203" spans="4:5" hidden="1" x14ac:dyDescent="0.35">
      <c r="D203" s="1"/>
      <c r="E203" s="1"/>
    </row>
    <row r="204" spans="4:5" hidden="1" x14ac:dyDescent="0.35">
      <c r="D204" s="1"/>
      <c r="E204" s="1"/>
    </row>
    <row r="205" spans="4:5" hidden="1" x14ac:dyDescent="0.35">
      <c r="D205" s="1"/>
      <c r="E205" s="1"/>
    </row>
    <row r="206" spans="4:5" hidden="1" x14ac:dyDescent="0.35">
      <c r="D206" s="1"/>
      <c r="E206" s="1"/>
    </row>
    <row r="207" spans="4:5" hidden="1" x14ac:dyDescent="0.35">
      <c r="D207" s="1"/>
      <c r="E207" s="1"/>
    </row>
    <row r="208" spans="4:5" hidden="1" x14ac:dyDescent="0.35">
      <c r="D208" s="1"/>
      <c r="E208" s="1"/>
    </row>
    <row r="209" spans="4:5" hidden="1" x14ac:dyDescent="0.35">
      <c r="D209" s="1"/>
      <c r="E209" s="1"/>
    </row>
    <row r="210" spans="4:5" hidden="1" x14ac:dyDescent="0.35">
      <c r="D210" s="1"/>
      <c r="E210" s="1"/>
    </row>
    <row r="211" spans="4:5" hidden="1" x14ac:dyDescent="0.35">
      <c r="D211" s="1"/>
      <c r="E211" s="1"/>
    </row>
    <row r="212" spans="4:5" hidden="1" x14ac:dyDescent="0.35">
      <c r="D212" s="1"/>
      <c r="E212" s="1"/>
    </row>
    <row r="213" spans="4:5" hidden="1" x14ac:dyDescent="0.35">
      <c r="D213" s="1"/>
      <c r="E213" s="1"/>
    </row>
    <row r="214" spans="4:5" hidden="1" x14ac:dyDescent="0.35">
      <c r="D214" s="1"/>
      <c r="E214" s="1"/>
    </row>
    <row r="215" spans="4:5" hidden="1" x14ac:dyDescent="0.35">
      <c r="D215" s="1"/>
      <c r="E215" s="1"/>
    </row>
    <row r="216" spans="4:5" hidden="1" x14ac:dyDescent="0.35">
      <c r="D216" s="1"/>
      <c r="E216" s="1"/>
    </row>
    <row r="217" spans="4:5" hidden="1" x14ac:dyDescent="0.35">
      <c r="D217" s="1"/>
      <c r="E217" s="1"/>
    </row>
    <row r="218" spans="4:5" hidden="1" x14ac:dyDescent="0.35">
      <c r="D218" s="1"/>
      <c r="E218" s="1"/>
    </row>
    <row r="219" spans="4:5" hidden="1" x14ac:dyDescent="0.35">
      <c r="D219" s="1"/>
      <c r="E219" s="1"/>
    </row>
    <row r="220" spans="4:5" hidden="1" x14ac:dyDescent="0.35">
      <c r="D220" s="1"/>
      <c r="E220" s="1"/>
    </row>
    <row r="221" spans="4:5" ht="15" hidden="1" customHeight="1" x14ac:dyDescent="0.35">
      <c r="D221" s="1"/>
      <c r="E221" s="1"/>
    </row>
    <row r="222" spans="4:5" hidden="1" x14ac:dyDescent="0.35">
      <c r="D222" s="1"/>
      <c r="E222" s="1"/>
    </row>
    <row r="223" spans="4:5" hidden="1" x14ac:dyDescent="0.35">
      <c r="D223" s="1"/>
      <c r="E223" s="1"/>
    </row>
    <row r="224" spans="4:5" hidden="1" x14ac:dyDescent="0.35">
      <c r="D224" s="1"/>
      <c r="E224" s="1"/>
    </row>
    <row r="225" spans="4:5" hidden="1" x14ac:dyDescent="0.35">
      <c r="D225" s="1"/>
      <c r="E225" s="1"/>
    </row>
    <row r="226" spans="4:5" hidden="1" x14ac:dyDescent="0.35">
      <c r="D226" s="1"/>
      <c r="E226" s="1"/>
    </row>
    <row r="227" spans="4:5" hidden="1" x14ac:dyDescent="0.35">
      <c r="D227" s="1"/>
      <c r="E227" s="1"/>
    </row>
    <row r="228" spans="4:5" hidden="1" x14ac:dyDescent="0.35">
      <c r="D228" s="1"/>
      <c r="E228" s="1"/>
    </row>
    <row r="229" spans="4:5" ht="9" hidden="1" customHeight="1" x14ac:dyDescent="0.35">
      <c r="D229" s="1"/>
      <c r="E229" s="1"/>
    </row>
    <row r="230" spans="4:5" hidden="1" x14ac:dyDescent="0.35"/>
    <row r="231" spans="4:5" hidden="1" x14ac:dyDescent="0.35"/>
    <row r="232" spans="4:5" hidden="1" x14ac:dyDescent="0.35"/>
    <row r="233" spans="4:5" hidden="1" x14ac:dyDescent="0.35"/>
    <row r="234" spans="4:5" hidden="1" x14ac:dyDescent="0.35"/>
    <row r="235" spans="4:5" hidden="1" x14ac:dyDescent="0.35"/>
    <row r="236" spans="4:5" hidden="1" x14ac:dyDescent="0.35"/>
    <row r="237" spans="4:5" x14ac:dyDescent="0.35"/>
    <row r="238" spans="4:5" x14ac:dyDescent="0.35"/>
    <row r="239" spans="4:5" x14ac:dyDescent="0.35"/>
    <row r="240" spans="4:5"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sheetData>
  <sheetProtection algorithmName="SHA-256" hashValue="ENijPpZsM5CcFgZTHydRRc/VS8Z716R4+XkC0pMoR9k=" saltValue="ADwN6+lCmoZCECo1OUqX5A==" spinCount="100000" sheet="1" formatRows="0" insertRows="0" selectLockedCells="1"/>
  <dataConsolidate/>
  <mergeCells count="17">
    <mergeCell ref="B73:C73"/>
    <mergeCell ref="B55:C55"/>
    <mergeCell ref="B56:C56"/>
    <mergeCell ref="B89:C89"/>
    <mergeCell ref="B6:C6"/>
    <mergeCell ref="B1:C1"/>
    <mergeCell ref="B2:C2"/>
    <mergeCell ref="B3:C3"/>
    <mergeCell ref="B88:C88"/>
    <mergeCell ref="B10:C10"/>
    <mergeCell ref="B7:C7"/>
    <mergeCell ref="B17:C17"/>
    <mergeCell ref="B62:C62"/>
    <mergeCell ref="B16:C16"/>
    <mergeCell ref="B33:C33"/>
    <mergeCell ref="B51:C51"/>
    <mergeCell ref="B61:C61"/>
  </mergeCells>
  <dataValidations count="1">
    <dataValidation allowBlank="1" showInputMessage="1" showErrorMessage="1" error="You must select Yes or No" sqref="C67 C65" xr:uid="{00000000-0002-0000-0400-000000000000}"/>
  </dataValidations>
  <pageMargins left="0.7" right="0.7" top="0.75" bottom="0.75" header="0.3" footer="0.3"/>
  <pageSetup scale="64" fitToHeight="0" orientation="portrait" r:id="rId1"/>
  <colBreaks count="1" manualBreakCount="1">
    <brk id="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62"/>
  <sheetViews>
    <sheetView zoomScale="115" zoomScaleNormal="115" workbookViewId="0">
      <selection activeCell="B13" sqref="B13"/>
    </sheetView>
  </sheetViews>
  <sheetFormatPr defaultRowHeight="14.5" x14ac:dyDescent="0.35"/>
  <cols>
    <col min="2" max="2" width="77.54296875" customWidth="1"/>
    <col min="3" max="3" width="22.453125" customWidth="1"/>
  </cols>
  <sheetData>
    <row r="1" spans="1:4" ht="15" thickBot="1" x14ac:dyDescent="0.4">
      <c r="A1" s="99"/>
      <c r="B1" s="278" t="s">
        <v>120</v>
      </c>
      <c r="C1" s="278"/>
      <c r="D1" s="12"/>
    </row>
    <row r="2" spans="1:4" ht="63.75" customHeight="1" thickBot="1" x14ac:dyDescent="0.4">
      <c r="A2" s="100"/>
      <c r="B2" s="259" t="s">
        <v>131</v>
      </c>
      <c r="C2" s="260"/>
      <c r="D2" s="13"/>
    </row>
    <row r="3" spans="1:4" ht="15" thickBot="1" x14ac:dyDescent="0.4">
      <c r="A3" s="100"/>
      <c r="B3" s="86"/>
      <c r="C3" s="86"/>
      <c r="D3" s="13"/>
    </row>
    <row r="4" spans="1:4" ht="15" thickBot="1" x14ac:dyDescent="0.4">
      <c r="A4" s="100"/>
      <c r="B4" s="94" t="s">
        <v>127</v>
      </c>
      <c r="C4" s="95"/>
      <c r="D4" s="13"/>
    </row>
    <row r="5" spans="1:4" x14ac:dyDescent="0.35">
      <c r="A5" s="100"/>
      <c r="B5" s="68" t="s">
        <v>122</v>
      </c>
      <c r="C5" s="20">
        <f>Summary!C134</f>
        <v>0</v>
      </c>
      <c r="D5" s="13"/>
    </row>
    <row r="6" spans="1:4" x14ac:dyDescent="0.35">
      <c r="A6" s="100"/>
      <c r="B6" s="68" t="s">
        <v>15</v>
      </c>
      <c r="C6" s="20">
        <f>Summary!C135</f>
        <v>0</v>
      </c>
      <c r="D6" s="13"/>
    </row>
    <row r="7" spans="1:4" ht="15" thickBot="1" x14ac:dyDescent="0.4">
      <c r="A7" s="100"/>
      <c r="B7" s="68" t="s">
        <v>16</v>
      </c>
      <c r="C7" s="20">
        <f>Summary!C136</f>
        <v>0</v>
      </c>
      <c r="D7" s="13"/>
    </row>
    <row r="8" spans="1:4" ht="15" thickBot="1" x14ac:dyDescent="0.4">
      <c r="A8" s="100"/>
      <c r="B8" s="96" t="s">
        <v>128</v>
      </c>
      <c r="C8" s="97"/>
      <c r="D8" s="13"/>
    </row>
    <row r="9" spans="1:4" ht="15" thickBot="1" x14ac:dyDescent="0.4">
      <c r="A9" s="100"/>
      <c r="B9" s="98" t="s">
        <v>11</v>
      </c>
      <c r="C9" s="20">
        <f>Summary!C139</f>
        <v>0</v>
      </c>
      <c r="D9" s="13"/>
    </row>
    <row r="10" spans="1:4" ht="15" thickBot="1" x14ac:dyDescent="0.4">
      <c r="A10" s="100"/>
      <c r="B10" s="96" t="s">
        <v>129</v>
      </c>
      <c r="C10" s="71"/>
      <c r="D10" s="13"/>
    </row>
    <row r="11" spans="1:4" x14ac:dyDescent="0.35">
      <c r="A11" s="100"/>
      <c r="B11" s="91" t="s">
        <v>1</v>
      </c>
      <c r="C11" s="20">
        <f>Summary!C142</f>
        <v>820503</v>
      </c>
      <c r="D11" s="13"/>
    </row>
    <row r="12" spans="1:4" x14ac:dyDescent="0.35">
      <c r="A12" s="100"/>
      <c r="B12" s="92" t="str">
        <f>Summary!$B143</f>
        <v>Ashurst</v>
      </c>
      <c r="C12" s="20">
        <f>IF($B12="",0,Summary!$C143)</f>
        <v>81149</v>
      </c>
      <c r="D12" s="13"/>
    </row>
    <row r="13" spans="1:4" x14ac:dyDescent="0.35">
      <c r="A13" s="100"/>
      <c r="B13" s="92" t="str">
        <f>Summary!$B144</f>
        <v>Clayton Utz</v>
      </c>
      <c r="C13" s="20">
        <f>IF($B13="",0,Summary!$C144)</f>
        <v>136005</v>
      </c>
      <c r="D13" s="13"/>
    </row>
    <row r="14" spans="1:4" x14ac:dyDescent="0.35">
      <c r="A14" s="100"/>
      <c r="B14" s="92" t="str">
        <f>Summary!$B145</f>
        <v>King and Wood Mallesons</v>
      </c>
      <c r="C14" s="20">
        <f>IF($B14="",0,Summary!$C145)</f>
        <v>77842</v>
      </c>
      <c r="D14" s="13"/>
    </row>
    <row r="15" spans="1:4" x14ac:dyDescent="0.35">
      <c r="A15" s="100"/>
      <c r="B15" s="92" t="str">
        <f>Summary!$B146</f>
        <v>Maddocks</v>
      </c>
      <c r="C15" s="20">
        <f>IF($B15="",0,Summary!$C146)</f>
        <v>5500</v>
      </c>
      <c r="D15" s="13"/>
    </row>
    <row r="16" spans="1:4" x14ac:dyDescent="0.35">
      <c r="A16" s="100"/>
      <c r="B16" s="92" t="str">
        <f>Summary!$B147</f>
        <v>Norton Rose Fulbright</v>
      </c>
      <c r="C16" s="20">
        <f>IF($B16="",0,Summary!$C147)</f>
        <v>2718</v>
      </c>
      <c r="D16" s="13"/>
    </row>
    <row r="17" spans="1:4" x14ac:dyDescent="0.35">
      <c r="A17" s="100"/>
      <c r="B17" s="92" t="str">
        <f>Summary!$B148</f>
        <v/>
      </c>
      <c r="C17" s="20">
        <f>IF($B17="",0,Summary!$C148)</f>
        <v>0</v>
      </c>
      <c r="D17" s="13"/>
    </row>
    <row r="18" spans="1:4" x14ac:dyDescent="0.35">
      <c r="A18" s="100"/>
      <c r="B18" s="92" t="str">
        <f>Summary!$B149</f>
        <v/>
      </c>
      <c r="C18" s="20">
        <f>IF($B18="",0,Summary!$C149)</f>
        <v>0</v>
      </c>
      <c r="D18" s="13"/>
    </row>
    <row r="19" spans="1:4" x14ac:dyDescent="0.35">
      <c r="A19" s="100"/>
      <c r="B19" s="92" t="str">
        <f>Summary!$B150</f>
        <v/>
      </c>
      <c r="C19" s="20">
        <f>IF($B19="",0,Summary!$C150)</f>
        <v>0</v>
      </c>
      <c r="D19" s="13"/>
    </row>
    <row r="20" spans="1:4" x14ac:dyDescent="0.35">
      <c r="A20" s="100"/>
      <c r="B20" s="92" t="str">
        <f>Summary!$B151</f>
        <v/>
      </c>
      <c r="C20" s="20">
        <f>IF($B20="",0,Summary!$C151)</f>
        <v>0</v>
      </c>
      <c r="D20" s="13"/>
    </row>
    <row r="21" spans="1:4" x14ac:dyDescent="0.35">
      <c r="A21" s="100"/>
      <c r="B21" s="92" t="str">
        <f>Summary!$B152</f>
        <v/>
      </c>
      <c r="C21" s="20">
        <f>IF($B21="",0,Summary!$C152)</f>
        <v>0</v>
      </c>
      <c r="D21" s="13"/>
    </row>
    <row r="22" spans="1:4" x14ac:dyDescent="0.35">
      <c r="A22" s="100"/>
      <c r="B22" s="92" t="str">
        <f>Summary!$B153</f>
        <v/>
      </c>
      <c r="C22" s="20">
        <f>IF($B22="",0,Summary!$C153)</f>
        <v>0</v>
      </c>
      <c r="D22" s="13"/>
    </row>
    <row r="23" spans="1:4" x14ac:dyDescent="0.35">
      <c r="A23" s="100"/>
      <c r="B23" s="92" t="str">
        <f>Summary!$B154</f>
        <v/>
      </c>
      <c r="C23" s="20">
        <f>IF($B23="",0,Summary!$C154)</f>
        <v>0</v>
      </c>
      <c r="D23" s="13"/>
    </row>
    <row r="24" spans="1:4" x14ac:dyDescent="0.35">
      <c r="A24" s="100"/>
      <c r="B24" s="92" t="str">
        <f>Summary!$B155</f>
        <v/>
      </c>
      <c r="C24" s="20">
        <f>IF($B24="",0,Summary!$C155)</f>
        <v>0</v>
      </c>
      <c r="D24" s="13"/>
    </row>
    <row r="25" spans="1:4" x14ac:dyDescent="0.35">
      <c r="A25" s="100"/>
      <c r="B25" s="92" t="str">
        <f>Summary!$B156</f>
        <v/>
      </c>
      <c r="C25" s="20">
        <f>IF($B25="",0,Summary!$C156)</f>
        <v>0</v>
      </c>
      <c r="D25" s="13"/>
    </row>
    <row r="26" spans="1:4" x14ac:dyDescent="0.35">
      <c r="A26" s="100"/>
      <c r="B26" s="92" t="str">
        <f>Summary!$B157</f>
        <v/>
      </c>
      <c r="C26" s="20">
        <f>IF($B26="",0,Summary!$C157)</f>
        <v>0</v>
      </c>
      <c r="D26" s="13"/>
    </row>
    <row r="27" spans="1:4" x14ac:dyDescent="0.35">
      <c r="A27" s="100"/>
      <c r="B27" s="92" t="str">
        <f>Summary!$B158</f>
        <v/>
      </c>
      <c r="C27" s="20">
        <f>IF($B27="",0,Summary!$C158)</f>
        <v>0</v>
      </c>
      <c r="D27" s="13"/>
    </row>
    <row r="28" spans="1:4" x14ac:dyDescent="0.35">
      <c r="A28" s="100"/>
      <c r="B28" s="92" t="str">
        <f>Summary!$B159</f>
        <v/>
      </c>
      <c r="C28" s="20">
        <f>IF($B28="",0,Summary!$C159)</f>
        <v>0</v>
      </c>
      <c r="D28" s="13"/>
    </row>
    <row r="29" spans="1:4" x14ac:dyDescent="0.35">
      <c r="A29" s="100"/>
      <c r="B29" s="92" t="str">
        <f>Summary!$B160</f>
        <v/>
      </c>
      <c r="C29" s="20">
        <f>IF($B29="",0,Summary!$C160)</f>
        <v>0</v>
      </c>
      <c r="D29" s="13"/>
    </row>
    <row r="30" spans="1:4" x14ac:dyDescent="0.35">
      <c r="A30" s="100"/>
      <c r="B30" s="92" t="str">
        <f>Summary!$B161</f>
        <v/>
      </c>
      <c r="C30" s="20">
        <f>IF($B30="",0,Summary!$C161)</f>
        <v>0</v>
      </c>
      <c r="D30" s="13"/>
    </row>
    <row r="31" spans="1:4" x14ac:dyDescent="0.35">
      <c r="A31" s="100"/>
      <c r="B31" s="92" t="str">
        <f>Summary!$B162</f>
        <v/>
      </c>
      <c r="C31" s="20">
        <f>IF($B31="",0,Summary!$C162)</f>
        <v>0</v>
      </c>
      <c r="D31" s="13"/>
    </row>
    <row r="32" spans="1:4" x14ac:dyDescent="0.35">
      <c r="A32" s="100"/>
      <c r="B32" s="92" t="str">
        <f>Summary!$B163</f>
        <v/>
      </c>
      <c r="C32" s="20">
        <f>IF($B32="",0,Summary!$C163)</f>
        <v>0</v>
      </c>
      <c r="D32" s="13"/>
    </row>
    <row r="33" spans="1:4" x14ac:dyDescent="0.35">
      <c r="A33" s="100"/>
      <c r="B33" s="92" t="str">
        <f>Summary!$B164</f>
        <v/>
      </c>
      <c r="C33" s="20">
        <f>IF($B33="",0,Summary!$C164)</f>
        <v>0</v>
      </c>
      <c r="D33" s="13"/>
    </row>
    <row r="34" spans="1:4" x14ac:dyDescent="0.35">
      <c r="A34" s="100"/>
      <c r="B34" s="92" t="str">
        <f>Summary!$B165</f>
        <v/>
      </c>
      <c r="C34" s="20">
        <f>IF($B34="",0,Summary!$C165)</f>
        <v>0</v>
      </c>
      <c r="D34" s="13"/>
    </row>
    <row r="35" spans="1:4" x14ac:dyDescent="0.35">
      <c r="A35" s="100"/>
      <c r="B35" s="92" t="str">
        <f>Summary!$B166</f>
        <v/>
      </c>
      <c r="C35" s="20">
        <f>IF($B35="",0,Summary!$C166)</f>
        <v>0</v>
      </c>
      <c r="D35" s="13"/>
    </row>
    <row r="36" spans="1:4" x14ac:dyDescent="0.35">
      <c r="A36" s="100"/>
      <c r="B36" s="92" t="str">
        <f>Summary!$B167</f>
        <v/>
      </c>
      <c r="C36" s="20">
        <f>IF($B36="",0,Summary!$C167)</f>
        <v>0</v>
      </c>
      <c r="D36" s="13"/>
    </row>
    <row r="37" spans="1:4" x14ac:dyDescent="0.35">
      <c r="A37" s="100"/>
      <c r="B37" s="92" t="str">
        <f>Summary!$B168</f>
        <v/>
      </c>
      <c r="C37" s="20">
        <f>IF($B37="",0,Summary!$C168)</f>
        <v>0</v>
      </c>
      <c r="D37" s="13"/>
    </row>
    <row r="38" spans="1:4" x14ac:dyDescent="0.35">
      <c r="A38" s="100"/>
      <c r="B38" s="92" t="str">
        <f>Summary!$B169</f>
        <v/>
      </c>
      <c r="C38" s="20">
        <f>IF($B38="",0,Summary!$C169)</f>
        <v>0</v>
      </c>
      <c r="D38" s="13"/>
    </row>
    <row r="39" spans="1:4" x14ac:dyDescent="0.35">
      <c r="A39" s="100"/>
      <c r="B39" s="92" t="str">
        <f>Summary!$B170</f>
        <v/>
      </c>
      <c r="C39" s="20">
        <f>IF($B39="",0,Summary!$C170)</f>
        <v>0</v>
      </c>
      <c r="D39" s="13"/>
    </row>
    <row r="40" spans="1:4" x14ac:dyDescent="0.35">
      <c r="A40" s="100"/>
      <c r="B40" s="92" t="str">
        <f>Summary!$B171</f>
        <v/>
      </c>
      <c r="C40" s="20">
        <f>IF($B40="",0,Summary!$C171)</f>
        <v>0</v>
      </c>
      <c r="D40" s="13"/>
    </row>
    <row r="41" spans="1:4" x14ac:dyDescent="0.35">
      <c r="A41" s="100"/>
      <c r="B41" s="92" t="str">
        <f>Summary!$B172</f>
        <v/>
      </c>
      <c r="C41" s="20">
        <f>IF($B41="",0,Summary!$C172)</f>
        <v>0</v>
      </c>
      <c r="D41" s="13"/>
    </row>
    <row r="42" spans="1:4" x14ac:dyDescent="0.35">
      <c r="A42" s="100"/>
      <c r="B42" s="92" t="str">
        <f>Summary!$B173</f>
        <v/>
      </c>
      <c r="C42" s="20">
        <f>IF($B42="",0,Summary!$C173)</f>
        <v>0</v>
      </c>
      <c r="D42" s="13"/>
    </row>
    <row r="43" spans="1:4" x14ac:dyDescent="0.35">
      <c r="A43" s="100"/>
      <c r="B43" s="92" t="str">
        <f>Summary!$B174</f>
        <v/>
      </c>
      <c r="C43" s="20">
        <f>IF($B43="",0,Summary!$C174)</f>
        <v>0</v>
      </c>
      <c r="D43" s="13"/>
    </row>
    <row r="44" spans="1:4" x14ac:dyDescent="0.35">
      <c r="A44" s="100"/>
      <c r="B44" s="92" t="str">
        <f>Summary!$B175</f>
        <v/>
      </c>
      <c r="C44" s="20">
        <f>IF($B44="",0,Summary!$C175)</f>
        <v>0</v>
      </c>
      <c r="D44" s="13"/>
    </row>
    <row r="45" spans="1:4" x14ac:dyDescent="0.35">
      <c r="A45" s="100"/>
      <c r="B45" s="92" t="str">
        <f>Summary!$B176</f>
        <v/>
      </c>
      <c r="C45" s="20">
        <f>IF($B45="",0,Summary!$C176)</f>
        <v>0</v>
      </c>
      <c r="D45" s="13"/>
    </row>
    <row r="46" spans="1:4" x14ac:dyDescent="0.35">
      <c r="A46" s="100"/>
      <c r="B46" s="92" t="str">
        <f>Summary!$B177</f>
        <v/>
      </c>
      <c r="C46" s="20">
        <f>IF($B46="",0,Summary!$C177)</f>
        <v>0</v>
      </c>
      <c r="D46" s="13"/>
    </row>
    <row r="47" spans="1:4" x14ac:dyDescent="0.35">
      <c r="A47" s="100"/>
      <c r="B47" s="92" t="str">
        <f>Summary!$B178</f>
        <v/>
      </c>
      <c r="C47" s="20">
        <f>IF($B47="",0,Summary!$C178)</f>
        <v>0</v>
      </c>
      <c r="D47" s="13"/>
    </row>
    <row r="48" spans="1:4" x14ac:dyDescent="0.35">
      <c r="A48" s="100"/>
      <c r="B48" s="92" t="str">
        <f>Summary!$B179</f>
        <v/>
      </c>
      <c r="C48" s="20">
        <f>IF($B48="",0,Summary!$C179)</f>
        <v>0</v>
      </c>
      <c r="D48" s="13"/>
    </row>
    <row r="49" spans="1:4" x14ac:dyDescent="0.35">
      <c r="A49" s="100"/>
      <c r="B49" s="92" t="str">
        <f>Summary!$B180</f>
        <v/>
      </c>
      <c r="C49" s="20">
        <f>IF($B49="",0,Summary!$C180)</f>
        <v>0</v>
      </c>
      <c r="D49" s="13"/>
    </row>
    <row r="50" spans="1:4" x14ac:dyDescent="0.35">
      <c r="A50" s="100"/>
      <c r="B50" s="92" t="str">
        <f>Summary!$B181</f>
        <v/>
      </c>
      <c r="C50" s="20">
        <f>IF($B50="",0,Summary!$C181)</f>
        <v>0</v>
      </c>
      <c r="D50" s="13"/>
    </row>
    <row r="51" spans="1:4" x14ac:dyDescent="0.35">
      <c r="A51" s="100"/>
      <c r="B51" s="92" t="str">
        <f>Summary!$B182</f>
        <v/>
      </c>
      <c r="C51" s="20">
        <f>IF($B51="",0,Summary!$C182)</f>
        <v>0</v>
      </c>
      <c r="D51" s="13"/>
    </row>
    <row r="52" spans="1:4" x14ac:dyDescent="0.35">
      <c r="A52" s="100"/>
      <c r="B52" s="92" t="str">
        <f>Summary!$B183</f>
        <v/>
      </c>
      <c r="C52" s="20">
        <f>IF($B52="",0,Summary!$C183)</f>
        <v>0</v>
      </c>
      <c r="D52" s="13"/>
    </row>
    <row r="53" spans="1:4" x14ac:dyDescent="0.35">
      <c r="A53" s="100"/>
      <c r="B53" s="92" t="str">
        <f>Summary!$B184</f>
        <v/>
      </c>
      <c r="C53" s="20">
        <f>IF($B53="",0,Summary!$C184)</f>
        <v>0</v>
      </c>
      <c r="D53" s="13"/>
    </row>
    <row r="54" spans="1:4" x14ac:dyDescent="0.35">
      <c r="A54" s="100"/>
      <c r="B54" s="92" t="str">
        <f>Summary!$B185</f>
        <v/>
      </c>
      <c r="C54" s="20">
        <f>IF($B54="",0,Summary!$C185)</f>
        <v>0</v>
      </c>
      <c r="D54" s="13"/>
    </row>
    <row r="55" spans="1:4" x14ac:dyDescent="0.35">
      <c r="A55" s="100"/>
      <c r="B55" s="92" t="str">
        <f>Summary!$B186</f>
        <v/>
      </c>
      <c r="C55" s="20">
        <f>IF($B55="",0,Summary!$C186)</f>
        <v>0</v>
      </c>
      <c r="D55" s="13"/>
    </row>
    <row r="56" spans="1:4" x14ac:dyDescent="0.35">
      <c r="A56" s="100"/>
      <c r="B56" s="92" t="str">
        <f>Summary!$B187</f>
        <v/>
      </c>
      <c r="C56" s="20">
        <f>IF($B56="",0,Summary!$C187)</f>
        <v>0</v>
      </c>
      <c r="D56" s="13"/>
    </row>
    <row r="57" spans="1:4" x14ac:dyDescent="0.35">
      <c r="A57" s="100"/>
      <c r="B57" s="92" t="str">
        <f>Summary!$B188</f>
        <v/>
      </c>
      <c r="C57" s="20">
        <f>IF($B57="",0,Summary!$C188)</f>
        <v>0</v>
      </c>
      <c r="D57" s="13"/>
    </row>
    <row r="58" spans="1:4" x14ac:dyDescent="0.35">
      <c r="A58" s="100"/>
      <c r="B58" s="92" t="str">
        <f>Summary!$B189</f>
        <v/>
      </c>
      <c r="C58" s="20">
        <f>IF($B58="",0,Summary!$C189)</f>
        <v>0</v>
      </c>
      <c r="D58" s="13"/>
    </row>
    <row r="59" spans="1:4" x14ac:dyDescent="0.35">
      <c r="A59" s="100"/>
      <c r="B59" s="92"/>
      <c r="C59" s="20">
        <v>0</v>
      </c>
      <c r="D59" s="13"/>
    </row>
    <row r="60" spans="1:4" x14ac:dyDescent="0.35">
      <c r="A60" s="100"/>
      <c r="B60" s="92"/>
      <c r="C60" s="20">
        <v>0</v>
      </c>
      <c r="D60" s="13"/>
    </row>
    <row r="61" spans="1:4" ht="15" thickBot="1" x14ac:dyDescent="0.4">
      <c r="A61" s="100"/>
      <c r="B61" s="93"/>
      <c r="C61" s="83">
        <v>0</v>
      </c>
      <c r="D61" s="13"/>
    </row>
    <row r="62" spans="1:4" ht="15" thickBot="1" x14ac:dyDescent="0.4">
      <c r="A62" s="101"/>
      <c r="B62" s="52"/>
      <c r="C62" s="52"/>
      <c r="D62" s="14"/>
    </row>
  </sheetData>
  <sheetProtection algorithmName="SHA-256" hashValue="Q7aVZfvUoHHDVFwjiVBWVgAUx6LYdJCW1i1XEf8/4R4=" saltValue="wqtHLS+vhJq2lM0EpJWJ6w==" spinCount="100000" sheet="1" objects="1" scenarios="1"/>
  <mergeCells count="2">
    <mergeCell ref="B1:C1"/>
    <mergeCell ref="B2:C2"/>
  </mergeCells>
  <dataValidations count="2">
    <dataValidation allowBlank="1" showErrorMessage="1" error="That's wrong." prompt="That's wrong." sqref="B10 B1:B3" xr:uid="{00000000-0002-0000-0500-000000000000}"/>
    <dataValidation type="list" allowBlank="1" showInputMessage="1" promptTitle="Select LSP from list" sqref="B12:B61" xr:uid="{00000000-0002-0000-0500-000001000000}">
      <formula1>LSP_Name</formula1>
    </dataValidation>
  </dataValidations>
  <pageMargins left="0.7" right="0.7" top="0.75" bottom="0.75" header="0.3" footer="0.3"/>
  <pageSetup paperSize="9" scale="7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63"/>
  <sheetViews>
    <sheetView topLeftCell="A25" workbookViewId="0">
      <selection activeCell="C67" sqref="C67"/>
    </sheetView>
  </sheetViews>
  <sheetFormatPr defaultRowHeight="14.5" x14ac:dyDescent="0.35"/>
  <cols>
    <col min="1" max="1" width="70.1796875" customWidth="1"/>
    <col min="4" max="4" width="54.54296875" customWidth="1"/>
  </cols>
  <sheetData>
    <row r="1" spans="1:1" ht="15.5" x14ac:dyDescent="0.35">
      <c r="A1" s="89" t="s">
        <v>125</v>
      </c>
    </row>
    <row r="2" spans="1:1" ht="15.5" x14ac:dyDescent="0.35">
      <c r="A2" s="90" t="s">
        <v>57</v>
      </c>
    </row>
    <row r="3" spans="1:1" ht="15.5" x14ac:dyDescent="0.35">
      <c r="A3" s="90" t="s">
        <v>0</v>
      </c>
    </row>
    <row r="4" spans="1:1" ht="15.5" x14ac:dyDescent="0.35">
      <c r="A4" s="90" t="s">
        <v>58</v>
      </c>
    </row>
    <row r="5" spans="1:1" ht="15.5" x14ac:dyDescent="0.35">
      <c r="A5" s="90" t="s">
        <v>59</v>
      </c>
    </row>
    <row r="6" spans="1:1" ht="15.5" x14ac:dyDescent="0.35">
      <c r="A6" s="90" t="s">
        <v>60</v>
      </c>
    </row>
    <row r="7" spans="1:1" ht="15.5" x14ac:dyDescent="0.35">
      <c r="A7" s="90" t="s">
        <v>61</v>
      </c>
    </row>
    <row r="8" spans="1:1" ht="15.5" x14ac:dyDescent="0.35">
      <c r="A8" s="90" t="s">
        <v>62</v>
      </c>
    </row>
    <row r="9" spans="1:1" ht="15.5" x14ac:dyDescent="0.35">
      <c r="A9" s="90" t="s">
        <v>63</v>
      </c>
    </row>
    <row r="10" spans="1:1" ht="15.5" x14ac:dyDescent="0.35">
      <c r="A10" s="90" t="s">
        <v>2</v>
      </c>
    </row>
    <row r="11" spans="1:1" ht="15.5" x14ac:dyDescent="0.35">
      <c r="A11" s="90" t="s">
        <v>64</v>
      </c>
    </row>
    <row r="12" spans="1:1" ht="15.5" x14ac:dyDescent="0.35">
      <c r="A12" s="90" t="s">
        <v>3</v>
      </c>
    </row>
    <row r="13" spans="1:1" ht="15.5" x14ac:dyDescent="0.35">
      <c r="A13" s="90" t="s">
        <v>123</v>
      </c>
    </row>
    <row r="14" spans="1:1" ht="15.5" x14ac:dyDescent="0.35">
      <c r="A14" s="90" t="s">
        <v>65</v>
      </c>
    </row>
    <row r="15" spans="1:1" ht="15.5" x14ac:dyDescent="0.35">
      <c r="A15" s="90" t="s">
        <v>66</v>
      </c>
    </row>
    <row r="16" spans="1:1" ht="15.5" x14ac:dyDescent="0.35">
      <c r="A16" s="90" t="s">
        <v>4</v>
      </c>
    </row>
    <row r="17" spans="1:1" ht="15.5" x14ac:dyDescent="0.35">
      <c r="A17" s="90" t="s">
        <v>67</v>
      </c>
    </row>
    <row r="18" spans="1:1" ht="15.5" x14ac:dyDescent="0.35">
      <c r="A18" s="90" t="s">
        <v>68</v>
      </c>
    </row>
    <row r="19" spans="1:1" ht="15.5" x14ac:dyDescent="0.35">
      <c r="A19" s="90" t="s">
        <v>69</v>
      </c>
    </row>
    <row r="20" spans="1:1" ht="15.5" x14ac:dyDescent="0.35">
      <c r="A20" s="90" t="s">
        <v>70</v>
      </c>
    </row>
    <row r="21" spans="1:1" ht="15.5" x14ac:dyDescent="0.35">
      <c r="A21" s="90" t="s">
        <v>71</v>
      </c>
    </row>
    <row r="22" spans="1:1" ht="15.5" x14ac:dyDescent="0.35">
      <c r="A22" s="90" t="s">
        <v>72</v>
      </c>
    </row>
    <row r="23" spans="1:1" ht="15.5" x14ac:dyDescent="0.35">
      <c r="A23" s="90" t="s">
        <v>73</v>
      </c>
    </row>
    <row r="24" spans="1:1" ht="15.5" x14ac:dyDescent="0.35">
      <c r="A24" s="90" t="s">
        <v>5</v>
      </c>
    </row>
    <row r="25" spans="1:1" ht="15.5" x14ac:dyDescent="0.35">
      <c r="A25" s="90" t="s">
        <v>74</v>
      </c>
    </row>
    <row r="26" spans="1:1" ht="15.5" x14ac:dyDescent="0.35">
      <c r="A26" s="90" t="s">
        <v>75</v>
      </c>
    </row>
    <row r="27" spans="1:1" ht="15.5" x14ac:dyDescent="0.35">
      <c r="A27" s="90" t="s">
        <v>76</v>
      </c>
    </row>
    <row r="28" spans="1:1" ht="15.5" x14ac:dyDescent="0.35">
      <c r="A28" s="90" t="s">
        <v>77</v>
      </c>
    </row>
    <row r="29" spans="1:1" ht="15.5" x14ac:dyDescent="0.35">
      <c r="A29" s="90" t="s">
        <v>78</v>
      </c>
    </row>
    <row r="30" spans="1:1" ht="15.5" x14ac:dyDescent="0.35">
      <c r="A30" s="90" t="s">
        <v>79</v>
      </c>
    </row>
    <row r="31" spans="1:1" ht="15.5" x14ac:dyDescent="0.35">
      <c r="A31" s="90" t="s">
        <v>6</v>
      </c>
    </row>
    <row r="32" spans="1:1" ht="15.5" x14ac:dyDescent="0.35">
      <c r="A32" s="90" t="s">
        <v>7</v>
      </c>
    </row>
    <row r="33" spans="1:1" ht="15.5" x14ac:dyDescent="0.35">
      <c r="A33" s="90" t="s">
        <v>80</v>
      </c>
    </row>
    <row r="34" spans="1:1" ht="15.5" x14ac:dyDescent="0.35">
      <c r="A34" s="90" t="s">
        <v>81</v>
      </c>
    </row>
    <row r="35" spans="1:1" ht="15.5" x14ac:dyDescent="0.35">
      <c r="A35" s="90" t="s">
        <v>82</v>
      </c>
    </row>
    <row r="36" spans="1:1" ht="15.5" x14ac:dyDescent="0.35">
      <c r="A36" s="90" t="s">
        <v>83</v>
      </c>
    </row>
    <row r="37" spans="1:1" ht="15.5" x14ac:dyDescent="0.35">
      <c r="A37" s="90" t="s">
        <v>84</v>
      </c>
    </row>
    <row r="38" spans="1:1" ht="15.5" x14ac:dyDescent="0.35">
      <c r="A38" s="90" t="s">
        <v>85</v>
      </c>
    </row>
    <row r="39" spans="1:1" ht="15.5" x14ac:dyDescent="0.35">
      <c r="A39" s="90" t="s">
        <v>86</v>
      </c>
    </row>
    <row r="40" spans="1:1" ht="15.5" x14ac:dyDescent="0.35">
      <c r="A40" s="90" t="s">
        <v>87</v>
      </c>
    </row>
    <row r="41" spans="1:1" ht="15.5" x14ac:dyDescent="0.35">
      <c r="A41" s="90" t="s">
        <v>8</v>
      </c>
    </row>
    <row r="42" spans="1:1" ht="15.5" x14ac:dyDescent="0.35">
      <c r="A42" s="90" t="s">
        <v>88</v>
      </c>
    </row>
    <row r="43" spans="1:1" ht="15.5" x14ac:dyDescent="0.35">
      <c r="A43" s="90" t="s">
        <v>89</v>
      </c>
    </row>
    <row r="44" spans="1:1" ht="15.5" x14ac:dyDescent="0.35">
      <c r="A44" s="90" t="s">
        <v>90</v>
      </c>
    </row>
    <row r="45" spans="1:1" ht="15.5" x14ac:dyDescent="0.35">
      <c r="A45" s="90" t="s">
        <v>91</v>
      </c>
    </row>
    <row r="46" spans="1:1" ht="15.5" x14ac:dyDescent="0.35">
      <c r="A46" s="90" t="s">
        <v>92</v>
      </c>
    </row>
    <row r="47" spans="1:1" ht="15.5" x14ac:dyDescent="0.35">
      <c r="A47" s="90" t="s">
        <v>93</v>
      </c>
    </row>
    <row r="48" spans="1:1" ht="15.5" x14ac:dyDescent="0.35">
      <c r="A48" s="90" t="s">
        <v>94</v>
      </c>
    </row>
    <row r="49" spans="1:1" ht="15.5" x14ac:dyDescent="0.35">
      <c r="A49" s="90" t="s">
        <v>95</v>
      </c>
    </row>
    <row r="50" spans="1:1" ht="15.5" x14ac:dyDescent="0.35">
      <c r="A50" s="90" t="s">
        <v>14</v>
      </c>
    </row>
    <row r="51" spans="1:1" ht="15.5" x14ac:dyDescent="0.35">
      <c r="A51" s="90" t="s">
        <v>124</v>
      </c>
    </row>
    <row r="52" spans="1:1" ht="15.5" x14ac:dyDescent="0.35">
      <c r="A52" s="90" t="s">
        <v>96</v>
      </c>
    </row>
    <row r="53" spans="1:1" ht="15.5" x14ac:dyDescent="0.35">
      <c r="A53" s="90" t="s">
        <v>97</v>
      </c>
    </row>
    <row r="54" spans="1:1" ht="15.5" x14ac:dyDescent="0.35">
      <c r="A54" s="90" t="s">
        <v>98</v>
      </c>
    </row>
    <row r="55" spans="1:1" ht="15.5" x14ac:dyDescent="0.35">
      <c r="A55" s="90" t="s">
        <v>99</v>
      </c>
    </row>
    <row r="56" spans="1:1" ht="15.5" x14ac:dyDescent="0.35">
      <c r="A56" s="90" t="s">
        <v>100</v>
      </c>
    </row>
    <row r="57" spans="1:1" ht="15.5" x14ac:dyDescent="0.35">
      <c r="A57" s="90" t="s">
        <v>9</v>
      </c>
    </row>
    <row r="58" spans="1:1" ht="15.5" x14ac:dyDescent="0.35">
      <c r="A58" s="90" t="s">
        <v>101</v>
      </c>
    </row>
    <row r="59" spans="1:1" ht="15.5" x14ac:dyDescent="0.35">
      <c r="A59" s="90" t="s">
        <v>102</v>
      </c>
    </row>
    <row r="60" spans="1:1" ht="15.5" x14ac:dyDescent="0.35">
      <c r="A60" s="90" t="s">
        <v>103</v>
      </c>
    </row>
    <row r="61" spans="1:1" ht="15.5" x14ac:dyDescent="0.35">
      <c r="A61" s="90" t="s">
        <v>104</v>
      </c>
    </row>
    <row r="62" spans="1:1" ht="15.5" x14ac:dyDescent="0.35">
      <c r="A62" s="90" t="s">
        <v>105</v>
      </c>
    </row>
    <row r="63" spans="1:1" ht="15.5" x14ac:dyDescent="0.35">
      <c r="A63" s="90" t="s">
        <v>106</v>
      </c>
    </row>
  </sheetData>
  <sheetProtection algorithmName="SHA-256" hashValue="7K/9z6t0gkPBURAhyLAJzKgnZKjNLTHc28GzLF67W+E=" saltValue="kfMAXYXgUe/42Kn/0t4YKg==" spinCount="100000" sheet="1" objects="1" scenarios="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BF1E3EC77B134E9D6FAB99E0AD5B6B" ma:contentTypeVersion="1" ma:contentTypeDescription="Create a new document." ma:contentTypeScope="" ma:versionID="f351235295463d26363372a88c847f58">
  <xsd:schema xmlns:xsd="http://www.w3.org/2001/XMLSchema" xmlns:xs="http://www.w3.org/2001/XMLSchema" xmlns:p="http://schemas.microsoft.com/office/2006/metadata/properties" xmlns:ns1="http://schemas.microsoft.com/sharepoint/v3" targetNamespace="http://schemas.microsoft.com/office/2006/metadata/properties" ma:root="true" ma:fieldsID="6f9746fe128b0ca74698fd9d7c13d39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FBF859-D7A7-4206-B9C8-1E26F092A57F}">
  <ds:schemaRefs>
    <ds:schemaRef ds:uri="http://schemas.microsoft.com/office/2006/metadata/longProperties"/>
  </ds:schemaRefs>
</ds:datastoreItem>
</file>

<file path=customXml/itemProps2.xml><?xml version="1.0" encoding="utf-8"?>
<ds:datastoreItem xmlns:ds="http://schemas.openxmlformats.org/officeDocument/2006/customXml" ds:itemID="{FD489908-9B5F-4C49-8134-7D1FB1E548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FB764A-975B-439F-A8CC-680EDC63A12A}">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4.xml><?xml version="1.0" encoding="utf-8"?>
<ds:datastoreItem xmlns:ds="http://schemas.openxmlformats.org/officeDocument/2006/customXml" ds:itemID="{F52CCD94-742C-47C0-84CE-C67A40F703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44</vt:i4>
      </vt:variant>
    </vt:vector>
  </HeadingPairs>
  <TitlesOfParts>
    <vt:vector size="51" baseType="lpstr">
      <vt:lpstr>Entry Form</vt:lpstr>
      <vt:lpstr>Summary</vt:lpstr>
      <vt:lpstr>Formulas</vt:lpstr>
      <vt:lpstr>Text</vt:lpstr>
      <vt:lpstr>Agency reporting template</vt:lpstr>
      <vt:lpstr>A - Professional Fees</vt:lpstr>
      <vt:lpstr>List of Law Firms</vt:lpstr>
      <vt:lpstr>abnumber</vt:lpstr>
      <vt:lpstr>agencyname</vt:lpstr>
      <vt:lpstr>B</vt:lpstr>
      <vt:lpstr>check</vt:lpstr>
      <vt:lpstr>counselnumbers</vt:lpstr>
      <vt:lpstr>counselsum</vt:lpstr>
      <vt:lpstr>directnumbers</vt:lpstr>
      <vt:lpstr>directsum</vt:lpstr>
      <vt:lpstr>domestic</vt:lpstr>
      <vt:lpstr>E</vt:lpstr>
      <vt:lpstr>entitytype</vt:lpstr>
      <vt:lpstr>external</vt:lpstr>
      <vt:lpstr>externalsum</vt:lpstr>
      <vt:lpstr>femalenumbers</vt:lpstr>
      <vt:lpstr>femalesum</vt:lpstr>
      <vt:lpstr>firmnames</vt:lpstr>
      <vt:lpstr>H</vt:lpstr>
      <vt:lpstr>indirectnumbers</vt:lpstr>
      <vt:lpstr>indirectsum</vt:lpstr>
      <vt:lpstr>inputcheck</vt:lpstr>
      <vt:lpstr>inputfree</vt:lpstr>
      <vt:lpstr>inputlist</vt:lpstr>
      <vt:lpstr>inputlock</vt:lpstr>
      <vt:lpstr>inputone</vt:lpstr>
      <vt:lpstr>inputred</vt:lpstr>
      <vt:lpstr>inputtwo</vt:lpstr>
      <vt:lpstr>inputyellow</vt:lpstr>
      <vt:lpstr>inputyesno</vt:lpstr>
      <vt:lpstr>internal</vt:lpstr>
      <vt:lpstr>LSP_Name</vt:lpstr>
      <vt:lpstr>malenumbers</vt:lpstr>
      <vt:lpstr>malesum</vt:lpstr>
      <vt:lpstr>O</vt:lpstr>
      <vt:lpstr>onthepanel</vt:lpstr>
      <vt:lpstr>panelfee</vt:lpstr>
      <vt:lpstr>'Agency reporting template'!Print_Area</vt:lpstr>
      <vt:lpstr>'Entry Form'!Print_Area</vt:lpstr>
      <vt:lpstr>Summary!Print_Area</vt:lpstr>
      <vt:lpstr>profees</vt:lpstr>
      <vt:lpstr>summaryinput</vt:lpstr>
      <vt:lpstr>total</vt:lpstr>
      <vt:lpstr>xnumbers</vt:lpstr>
      <vt:lpstr>xsum</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Legal Services Expenditure Report template</dc:title>
  <dc:creator/>
  <cp:lastModifiedBy/>
  <dcterms:created xsi:type="dcterms:W3CDTF">2018-07-17T04:36:49Z</dcterms:created>
  <dcterms:modified xsi:type="dcterms:W3CDTF">2023-09-27T22:39:57Z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xd_Signature">
    <vt:lpwstr/>
  </property>
  <property fmtid="{D5CDD505-2E9C-101B-9397-08002B2CF9AE}" pid="4" name="Order">
    <vt:lpwstr>11700.0000000000</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System Account</vt:lpwstr>
  </property>
  <property fmtid="{D5CDD505-2E9C-101B-9397-08002B2CF9AE}" pid="8" name="_SourceUrl">
    <vt:lpwstr/>
  </property>
  <property fmtid="{D5CDD505-2E9C-101B-9397-08002B2CF9AE}" pid="9" name="_SharedFileIndex">
    <vt:lpwstr/>
  </property>
</Properties>
</file>