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showInkAnnotation="0" codeName="ThisWorkbook" defaultThemeVersion="124226"/>
  <xr:revisionPtr revIDLastSave="0" documentId="8_{D8934F5E-BACE-4FE4-AE81-A33AB43E9916}" xr6:coauthVersionLast="36" xr6:coauthVersionMax="36" xr10:uidLastSave="{00000000-0000-0000-0000-000000000000}"/>
  <workbookProtection workbookAlgorithmName="SHA-256" workbookHashValue="23PXq3najccDXlp+JNeppE7nE0p0dMo6e04yamKZIjA=" workbookSaltValue="7h4oHYxWZ2DpXZ+XIwG3dA==" workbookSpinCount="100000" lockStructure="1"/>
  <bookViews>
    <workbookView xWindow="120" yWindow="390" windowWidth="12680" windowHeight="4770" xr2:uid="{00000000-000D-0000-FFFF-FFFF00000000}"/>
  </bookViews>
  <sheets>
    <sheet name="Entry Form" sheetId="4" r:id="rId1"/>
    <sheet name="Summary" sheetId="6" r:id="rId2"/>
    <sheet name="Formulas" sheetId="5" state="hidden" r:id="rId3"/>
    <sheet name="Text" sheetId="7" state="hidden" r:id="rId4"/>
    <sheet name="Agency reporting template" sheetId="1" state="hidden" r:id="rId5"/>
    <sheet name="A - Professional Fees" sheetId="3" state="hidden" r:id="rId6"/>
    <sheet name="List of Law Firms" sheetId="2" state="hidden" r:id="rId7"/>
  </sheets>
  <externalReferences>
    <externalReference r:id="rId8"/>
    <externalReference r:id="rId9"/>
  </externalReferences>
  <definedNames>
    <definedName name="_xlnm._FilterDatabase" localSheetId="0" hidden="1">'Entry Form'!$F$1:$G$409</definedName>
    <definedName name="_xlnm._FilterDatabase" localSheetId="2" hidden="1">Formulas!$B$1:$I$163</definedName>
    <definedName name="_ftn1" localSheetId="4">'Agency reporting template'!#REF!</definedName>
    <definedName name="_ftn2" localSheetId="4">'Agency reporting template'!#REF!</definedName>
    <definedName name="_ftn3" localSheetId="4">'Agency reporting template'!#REF!</definedName>
    <definedName name="_ftnref1" localSheetId="4">'Agency reporting template'!#REF!</definedName>
    <definedName name="_ftnref2" localSheetId="4">'Agency reporting template'!#REF!</definedName>
    <definedName name="_ftnref3" localSheetId="4">'Agency reporting template'!#REF!</definedName>
    <definedName name="_Hlk291055818" localSheetId="4">'Agency reporting template'!#REF!</definedName>
    <definedName name="abnumber">Formulas!$C$2:$C$163</definedName>
    <definedName name="agencyname">Formulas!$B$2:$B$163</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ata">[1]Sheet3!$A$2:$D$161</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Formulas!$D$2:$D$163</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Formulas!$H$2:$H$163</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Formulas!$N$2:$N$201</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Formulas!$G$2:$G$163</definedName>
    <definedName name="LSP_Name">'List of Law Firms'!$A$2:$A$63</definedName>
    <definedName name="malenumbers">'Entry Form'!$C$48,'Entry Form'!$C$60,'Entry Form'!$C$73,'Entry Form'!$C$85</definedName>
    <definedName name="malesum">'Entry Form'!$C$49,'Entry Form'!$C$61,'Entry Form'!$C$74,'Entry Form'!$C$86</definedName>
    <definedName name="O">Formulas!$P$2:$P$3</definedName>
    <definedName name="OLE_LINK7" localSheetId="4">'Agency reporting template'!#REF!</definedName>
    <definedName name="onthepanel">Formulas!$E$2:$E$163</definedName>
    <definedName name="panel_fee">[1]Sheet4!$A$4:$C$117</definedName>
    <definedName name="panelfee">Formulas!$I$2:$I$163</definedName>
    <definedName name="_xlnm.Print_Area" localSheetId="4">'Agency reporting template'!$A$1:$D$90</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Formulas!$F$2:$F$163</definedName>
    <definedName name="xnumbers">'Entry Form'!$C$54,'Entry Form'!$C$66,'Entry Form'!$C$79,'Entry Form'!$C$91</definedName>
    <definedName name="xsum">'Entry Form'!$C$92,'Entry Form'!$C$80,'Entry Form'!$C$67,'Entry Form'!$C$55</definedName>
    <definedName name="yesno">Formulas!$K$2:$K$3</definedName>
  </definedNames>
  <calcPr calcId="191029"/>
</workbook>
</file>

<file path=xl/calcChain.xml><?xml version="1.0" encoding="utf-8"?>
<calcChain xmlns="http://schemas.openxmlformats.org/spreadsheetml/2006/main">
  <c r="C34" i="4" l="1"/>
  <c r="C7" i="4" l="1"/>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1" i="4" l="1"/>
  <c r="E101" i="4" s="1"/>
  <c r="D101" i="4" l="1"/>
  <c r="B102" i="4"/>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B9" i="6" s="1"/>
  <c r="A404" i="4"/>
  <c r="D405" i="4"/>
  <c r="D406" i="4"/>
  <c r="E404" i="4"/>
  <c r="D29" i="6" l="1"/>
  <c r="C19" i="6"/>
  <c r="B15" i="6"/>
  <c r="A10" i="6"/>
  <c r="B19" i="6"/>
  <c r="C23" i="6"/>
  <c r="A9" i="6"/>
  <c r="B20" i="6"/>
  <c r="C24" i="6"/>
  <c r="C18" i="6"/>
  <c r="B11" i="6"/>
  <c r="B26" i="6"/>
  <c r="A13" i="6"/>
  <c r="B22" i="6"/>
  <c r="B21" i="6"/>
  <c r="B8" i="6"/>
  <c r="C17" i="6"/>
  <c r="C26" i="6"/>
  <c r="B23" i="6"/>
  <c r="A12" i="6"/>
  <c r="C22" i="6"/>
  <c r="B24" i="6"/>
  <c r="B16" i="6"/>
  <c r="B25" i="6"/>
  <c r="B18" i="6"/>
  <c r="C20" i="6"/>
  <c r="C27" i="6"/>
  <c r="C25" i="6"/>
  <c r="B27" i="6"/>
  <c r="B13" i="6"/>
  <c r="B5" i="6"/>
  <c r="B29" i="6"/>
  <c r="E29" i="6" s="1"/>
  <c r="B47" i="6"/>
  <c r="E47" i="6" s="1"/>
  <c r="C21" i="6"/>
  <c r="B12" i="6"/>
  <c r="B6" i="6"/>
  <c r="B17" i="6"/>
  <c r="B10" i="6"/>
  <c r="A11" i="6"/>
  <c r="B30" i="6"/>
  <c r="B34" i="6" l="1"/>
  <c r="B33" i="6"/>
  <c r="C16" i="6"/>
  <c r="C33" i="6" s="1"/>
  <c r="B31" i="6"/>
  <c r="B42" i="6"/>
  <c r="B43" i="6"/>
  <c r="B38" i="6"/>
  <c r="B36" i="6"/>
  <c r="A42" i="6"/>
  <c r="A43" i="6"/>
  <c r="B37" i="6"/>
  <c r="C34" i="6"/>
  <c r="C38" i="6" s="1"/>
  <c r="B44" i="6"/>
  <c r="C37" i="6" l="1"/>
  <c r="C36" i="6"/>
  <c r="B40" i="6" l="1"/>
  <c r="C45" i="6" s="1"/>
  <c r="D47" i="6" s="1"/>
  <c r="B48" i="6" s="1"/>
  <c r="B53" i="6" l="1"/>
  <c r="E53" i="6" s="1"/>
  <c r="D53" i="6"/>
  <c r="B51" i="6"/>
  <c r="B50" i="6"/>
  <c r="B54" i="6" l="1"/>
  <c r="B127" i="6"/>
  <c r="B126" i="6"/>
  <c r="C127" i="6"/>
  <c r="B118" i="6"/>
  <c r="C126" i="6"/>
  <c r="C90" i="6"/>
  <c r="C40" i="1" s="1"/>
  <c r="B89" i="1"/>
  <c r="C80" i="6"/>
  <c r="C42" i="1" s="1"/>
  <c r="C179" i="6"/>
  <c r="B185" i="6"/>
  <c r="B54" i="3" s="1"/>
  <c r="B179" i="6"/>
  <c r="B48" i="3" s="1"/>
  <c r="B144" i="6"/>
  <c r="B13" i="3" s="1"/>
  <c r="C180" i="6"/>
  <c r="B89" i="6"/>
  <c r="C109" i="6"/>
  <c r="C31" i="1" s="1"/>
  <c r="B182" i="6"/>
  <c r="B51" i="3" s="1"/>
  <c r="C147" i="6"/>
  <c r="B107" i="6"/>
  <c r="A118" i="6"/>
  <c r="B73" i="6"/>
  <c r="C100" i="6"/>
  <c r="C27" i="1" s="1"/>
  <c r="B146" i="6"/>
  <c r="B15" i="3" s="1"/>
  <c r="B141" i="6"/>
  <c r="C101" i="6"/>
  <c r="C21" i="1" s="1"/>
  <c r="C134" i="6"/>
  <c r="C5" i="3" s="1"/>
  <c r="C82" i="6"/>
  <c r="C43" i="1" s="1"/>
  <c r="A78" i="6"/>
  <c r="C121" i="6"/>
  <c r="C66" i="1" s="1"/>
  <c r="B69" i="6"/>
  <c r="B148" i="6"/>
  <c r="B17" i="3" s="1"/>
  <c r="B106" i="6"/>
  <c r="C144" i="6"/>
  <c r="B175" i="6"/>
  <c r="B44" i="3" s="1"/>
  <c r="B104" i="6"/>
  <c r="B90" i="6"/>
  <c r="C184" i="6"/>
  <c r="C177" i="6"/>
  <c r="B159" i="6"/>
  <c r="B28" i="3" s="1"/>
  <c r="B153" i="6"/>
  <c r="B22" i="3" s="1"/>
  <c r="C105" i="6"/>
  <c r="C29" i="1" s="1"/>
  <c r="B63" i="6"/>
  <c r="C116" i="6"/>
  <c r="C52" i="1" s="1"/>
  <c r="C81" i="1" s="1"/>
  <c r="B135" i="6"/>
  <c r="B56" i="6"/>
  <c r="C157" i="6"/>
  <c r="B183" i="6"/>
  <c r="B52" i="3" s="1"/>
  <c r="C107" i="6"/>
  <c r="C30" i="1" s="1"/>
  <c r="C98" i="6"/>
  <c r="C26" i="1" s="1"/>
  <c r="B178" i="6"/>
  <c r="B47" i="3" s="1"/>
  <c r="C60" i="6"/>
  <c r="B2" i="1" s="1"/>
  <c r="B187" i="6"/>
  <c r="B56" i="3" s="1"/>
  <c r="C66" i="6"/>
  <c r="C12" i="1" s="1"/>
  <c r="C75" i="1" s="1"/>
  <c r="C170" i="6"/>
  <c r="B61" i="6"/>
  <c r="B138" i="6"/>
  <c r="C149" i="6"/>
  <c r="B91" i="6"/>
  <c r="B170" i="6"/>
  <c r="B39" i="3" s="1"/>
  <c r="B96" i="6"/>
  <c r="B160" i="6"/>
  <c r="B29" i="3" s="1"/>
  <c r="B173" i="6"/>
  <c r="B42" i="3" s="1"/>
  <c r="A73" i="6"/>
  <c r="B186" i="6"/>
  <c r="B55" i="3" s="1"/>
  <c r="C151" i="6"/>
  <c r="B174" i="6"/>
  <c r="B43" i="3" s="1"/>
  <c r="C176" i="6"/>
  <c r="B66" i="6"/>
  <c r="A69" i="6"/>
  <c r="C106" i="6"/>
  <c r="C23" i="1" s="1"/>
  <c r="A114" i="6"/>
  <c r="A138" i="6"/>
  <c r="B94" i="6"/>
  <c r="C169" i="6"/>
  <c r="B93" i="6"/>
  <c r="C173" i="6"/>
  <c r="C142" i="6"/>
  <c r="C11" i="3" s="1"/>
  <c r="A96" i="6"/>
  <c r="B111" i="6"/>
  <c r="C97" i="6"/>
  <c r="C19" i="1" s="1"/>
  <c r="A141" i="6"/>
  <c r="C102" i="6"/>
  <c r="C28" i="1" s="1"/>
  <c r="B78" i="6"/>
  <c r="C146" i="6"/>
  <c r="B177" i="6"/>
  <c r="B46" i="3" s="1"/>
  <c r="B157" i="6"/>
  <c r="B26" i="3" s="1"/>
  <c r="C26" i="3" s="1"/>
  <c r="C148" i="6"/>
  <c r="C17" i="3" s="1"/>
  <c r="B143" i="6"/>
  <c r="B12" i="3" s="1"/>
  <c r="C124" i="6"/>
  <c r="C70" i="1" s="1"/>
  <c r="C84" i="1" s="1"/>
  <c r="C160" i="6"/>
  <c r="B129" i="6"/>
  <c r="C71" i="6"/>
  <c r="B84" i="6"/>
  <c r="C65" i="6"/>
  <c r="C163" i="6"/>
  <c r="B171" i="6"/>
  <c r="B40" i="3" s="1"/>
  <c r="C171" i="6"/>
  <c r="B165" i="6"/>
  <c r="B34" i="3" s="1"/>
  <c r="A133" i="6"/>
  <c r="C99" i="6"/>
  <c r="C20" i="1" s="1"/>
  <c r="C161" i="6"/>
  <c r="C158" i="6"/>
  <c r="C187" i="6"/>
  <c r="C182" i="6"/>
  <c r="C139" i="6"/>
  <c r="C9" i="3" s="1"/>
  <c r="B86" i="6"/>
  <c r="B142" i="6"/>
  <c r="B162" i="6"/>
  <c r="B31" i="3" s="1"/>
  <c r="C178" i="6"/>
  <c r="C185" i="6"/>
  <c r="B151" i="6"/>
  <c r="B20" i="3" s="1"/>
  <c r="C174" i="6"/>
  <c r="B75" i="6"/>
  <c r="B108" i="6"/>
  <c r="B88" i="6"/>
  <c r="B116" i="6"/>
  <c r="C67" i="6"/>
  <c r="B85" i="6"/>
  <c r="B156" i="6"/>
  <c r="B25" i="3" s="1"/>
  <c r="C153" i="6"/>
  <c r="B97" i="6"/>
  <c r="B166" i="6"/>
  <c r="B35" i="3" s="1"/>
  <c r="C61" i="6"/>
  <c r="B3" i="1" s="1"/>
  <c r="B67" i="6"/>
  <c r="B163" i="6"/>
  <c r="B32" i="3" s="1"/>
  <c r="C91" i="6"/>
  <c r="C47" i="1" s="1"/>
  <c r="C165" i="6"/>
  <c r="B120" i="6"/>
  <c r="B136" i="6"/>
  <c r="C87" i="6"/>
  <c r="C45" i="1" s="1"/>
  <c r="B164" i="6"/>
  <c r="B33" i="3" s="1"/>
  <c r="C145" i="6"/>
  <c r="B152" i="6"/>
  <c r="B21" i="3" s="1"/>
  <c r="C183" i="6"/>
  <c r="C166" i="6"/>
  <c r="B98" i="6"/>
  <c r="B155" i="6"/>
  <c r="B24" i="3" s="1"/>
  <c r="C135" i="6"/>
  <c r="C6" i="3" s="1"/>
  <c r="B181" i="6"/>
  <c r="B50" i="3" s="1"/>
  <c r="C189" i="6"/>
  <c r="C154" i="6"/>
  <c r="B158" i="6"/>
  <c r="B27" i="3" s="1"/>
  <c r="B168" i="6"/>
  <c r="B37" i="3" s="1"/>
  <c r="B131" i="6"/>
  <c r="C143" i="6"/>
  <c r="B147" i="6"/>
  <c r="B16" i="3" s="1"/>
  <c r="C16" i="3" s="1"/>
  <c r="B149" i="6"/>
  <c r="B18" i="3" s="1"/>
  <c r="A129" i="6"/>
  <c r="B154" i="6"/>
  <c r="B23" i="3" s="1"/>
  <c r="C23" i="3" s="1"/>
  <c r="B65" i="6"/>
  <c r="B172" i="6"/>
  <c r="B41" i="3" s="1"/>
  <c r="B167" i="6"/>
  <c r="B36" i="3" s="1"/>
  <c r="C152" i="6"/>
  <c r="C168" i="6"/>
  <c r="B71" i="6"/>
  <c r="B100" i="6"/>
  <c r="C104" i="6"/>
  <c r="C22" i="1" s="1"/>
  <c r="B87" i="6"/>
  <c r="B180" i="6"/>
  <c r="B49" i="3" s="1"/>
  <c r="C167" i="6"/>
  <c r="B105" i="6"/>
  <c r="C181" i="6"/>
  <c r="B103" i="6"/>
  <c r="B60" i="6"/>
  <c r="C164" i="6"/>
  <c r="C155" i="6"/>
  <c r="B145" i="6"/>
  <c r="B14" i="3" s="1"/>
  <c r="C89" i="6"/>
  <c r="C46" i="1" s="1"/>
  <c r="B114" i="6"/>
  <c r="B102" i="6"/>
  <c r="B184" i="6"/>
  <c r="B53" i="3" s="1"/>
  <c r="B109" i="6"/>
  <c r="B101" i="6"/>
  <c r="B188" i="6"/>
  <c r="B57" i="3" s="1"/>
  <c r="B80" i="6"/>
  <c r="C188" i="6"/>
  <c r="C123" i="6"/>
  <c r="C69" i="1" s="1"/>
  <c r="C83" i="1" s="1"/>
  <c r="C79" i="6"/>
  <c r="C35" i="1" s="1"/>
  <c r="B134" i="6"/>
  <c r="B81" i="6"/>
  <c r="C150" i="6"/>
  <c r="C81" i="6"/>
  <c r="C36" i="1" s="1"/>
  <c r="B99" i="6"/>
  <c r="B189" i="6"/>
  <c r="B58" i="3" s="1"/>
  <c r="C156" i="6"/>
  <c r="C175" i="6"/>
  <c r="C162" i="6"/>
  <c r="B76" i="6"/>
  <c r="C172" i="6"/>
  <c r="C84" i="6"/>
  <c r="C44" i="1" s="1"/>
  <c r="B79" i="6"/>
  <c r="B176" i="6"/>
  <c r="B45" i="3" s="1"/>
  <c r="C120" i="6"/>
  <c r="C136" i="6"/>
  <c r="C7" i="3" s="1"/>
  <c r="C83" i="6"/>
  <c r="C37" i="1" s="1"/>
  <c r="C86" i="6"/>
  <c r="C38" i="1" s="1"/>
  <c r="C159" i="6"/>
  <c r="B150" i="6"/>
  <c r="B19" i="3" s="1"/>
  <c r="B139" i="6"/>
  <c r="B133" i="6"/>
  <c r="C88" i="6"/>
  <c r="C39" i="1" s="1"/>
  <c r="C108" i="6"/>
  <c r="C24" i="1" s="1"/>
  <c r="B82" i="6"/>
  <c r="C186" i="6"/>
  <c r="B112" i="6"/>
  <c r="B83" i="6"/>
  <c r="B169" i="6"/>
  <c r="B38" i="3" s="1"/>
  <c r="B161" i="6"/>
  <c r="B30" i="3" s="1"/>
  <c r="B121" i="6" l="1"/>
  <c r="B124" i="6"/>
  <c r="B123" i="6"/>
  <c r="C65" i="1"/>
  <c r="C22" i="3"/>
  <c r="C131" i="6"/>
  <c r="C15" i="3"/>
  <c r="C52" i="3"/>
  <c r="C28" i="3"/>
  <c r="C51" i="3"/>
  <c r="C13" i="3"/>
  <c r="C48" i="3"/>
  <c r="C44" i="3"/>
  <c r="C47" i="3"/>
  <c r="C38" i="3"/>
  <c r="C43" i="3"/>
  <c r="C49" i="3"/>
  <c r="C54" i="3"/>
  <c r="C46" i="3"/>
  <c r="C39" i="3"/>
  <c r="C53" i="3"/>
  <c r="C45" i="3"/>
  <c r="C42" i="3"/>
  <c r="C55" i="3"/>
  <c r="C79" i="1"/>
  <c r="C12" i="3"/>
  <c r="C20" i="3"/>
  <c r="C112" i="6"/>
  <c r="C29" i="3"/>
  <c r="C18" i="3"/>
  <c r="C78" i="1"/>
  <c r="C56" i="3"/>
  <c r="C58" i="3"/>
  <c r="C14" i="3"/>
  <c r="C31" i="3"/>
  <c r="C30" i="3"/>
  <c r="C32" i="3"/>
  <c r="C40" i="3"/>
  <c r="C27" i="3"/>
  <c r="C36" i="3"/>
  <c r="C37" i="3"/>
  <c r="C111" i="6"/>
  <c r="C34" i="3"/>
  <c r="C21" i="3"/>
  <c r="C24" i="3"/>
  <c r="C33" i="3"/>
  <c r="C48" i="1"/>
  <c r="C77" i="1" s="1"/>
  <c r="C41" i="3"/>
  <c r="C85" i="1"/>
  <c r="C94" i="6"/>
  <c r="C50" i="3"/>
  <c r="C93" i="6"/>
  <c r="C19" i="3"/>
  <c r="C35" i="3"/>
  <c r="C80" i="1"/>
  <c r="C25" i="3"/>
  <c r="C57" i="3"/>
  <c r="C76" i="6" l="1"/>
  <c r="C75" i="6"/>
  <c r="C58" i="1"/>
  <c r="C82" i="1" s="1"/>
  <c r="C76" i="1" l="1"/>
  <c r="C13" i="1" s="1"/>
  <c r="C11" i="1" s="1"/>
  <c r="C74" i="1" l="1"/>
</calcChain>
</file>

<file path=xl/sharedStrings.xml><?xml version="1.0" encoding="utf-8"?>
<sst xmlns="http://schemas.openxmlformats.org/spreadsheetml/2006/main" count="2120" uniqueCount="827">
  <si>
    <t>Ashurst</t>
  </si>
  <si>
    <t>Australian Government Solicitor</t>
  </si>
  <si>
    <t>Clayton Utz</t>
  </si>
  <si>
    <t>Corrs Chambers Westgarth</t>
  </si>
  <si>
    <t>DLA Piper</t>
  </si>
  <si>
    <t>Herbert Smith Freehills</t>
  </si>
  <si>
    <t>Johnson Winter &amp; Slattery</t>
  </si>
  <si>
    <t>K&amp;L Gates</t>
  </si>
  <si>
    <t>Maddocks</t>
  </si>
  <si>
    <t>Sparke Helmore</t>
  </si>
  <si>
    <t>Commentary</t>
  </si>
  <si>
    <t>Overseas firms (single total figure, individual firm names not required)</t>
  </si>
  <si>
    <t>Total (External + Internal) Expenditure</t>
  </si>
  <si>
    <t>Total Internal Legal Services Expenditure</t>
  </si>
  <si>
    <t>Norton Rose Fulbright</t>
  </si>
  <si>
    <t>Department of Foreign Affairs and Trade</t>
  </si>
  <si>
    <t>Office of Parliamentary Counsel</t>
  </si>
  <si>
    <t>Total number of briefs to counsel</t>
  </si>
  <si>
    <t>Total number of direct briefs to male senior counsel</t>
  </si>
  <si>
    <t>Total number of indirect briefs to male senior counsel</t>
  </si>
  <si>
    <t>Total number of direct briefs to female senior counsel</t>
  </si>
  <si>
    <t>Total number of indirect briefs to female senior counsel</t>
  </si>
  <si>
    <t>Total value of direct briefs to male senior counsel</t>
  </si>
  <si>
    <t>Total value of indirect briefs to male senior counsel</t>
  </si>
  <si>
    <t>Total value of direct briefs to female senior counsel</t>
  </si>
  <si>
    <t>Total value of indirect briefs to female senior counsel</t>
  </si>
  <si>
    <t>Total number of direct briefs to male junior counsel</t>
  </si>
  <si>
    <t>Total number of indirect briefs to male junior counsel</t>
  </si>
  <si>
    <t>Total number of direct briefs to female junior counsel</t>
  </si>
  <si>
    <t>Total number of indirect briefs to female junior counsel</t>
  </si>
  <si>
    <t>Total value of direct briefs to male junior counsel</t>
  </si>
  <si>
    <t>Total value of indirect briefs to male junior counsel</t>
  </si>
  <si>
    <t>Total value of direct briefs to female junior counsel</t>
  </si>
  <si>
    <t>Total value of indirect briefs to female junior counsel</t>
  </si>
  <si>
    <t>T2 Total Internal Legal Services Expenditure</t>
  </si>
  <si>
    <t>T3 Total External Legal Services Expenditure</t>
  </si>
  <si>
    <t>T4 Total value of briefs to Counsel</t>
  </si>
  <si>
    <t>T1 Total Legal Services Expenditure (External + Internal)</t>
  </si>
  <si>
    <t>Total value of briefs to all counsel</t>
  </si>
  <si>
    <t>T5 Total value of briefs to Male Counsel</t>
  </si>
  <si>
    <t>T6 Total value of briefs to Female Counsel</t>
  </si>
  <si>
    <t>Summary totals</t>
  </si>
  <si>
    <t xml:space="preserve">Total External Legal Services Expenditure </t>
  </si>
  <si>
    <t>Value of briefs - direct and indirect briefs</t>
  </si>
  <si>
    <t>Number of briefs - direct and indirect briefs</t>
  </si>
  <si>
    <t>Senior Counsel</t>
  </si>
  <si>
    <t>Junior Counsel</t>
  </si>
  <si>
    <t>Disbursements</t>
  </si>
  <si>
    <t>Total Disbursements</t>
  </si>
  <si>
    <t>Total number of direct briefs to gender X senior counsel</t>
  </si>
  <si>
    <t>Total number of indirect briefs to gender X senior counsel</t>
  </si>
  <si>
    <t>Total value of direct briefs to gender X senior counsel</t>
  </si>
  <si>
    <t>Total value of indirect briefs to gender X senior counsel</t>
  </si>
  <si>
    <t>Total number of direct briefs to gender X junior counsel</t>
  </si>
  <si>
    <t>Total number of indirect briefs to gender X junior counsel</t>
  </si>
  <si>
    <t>Total value of direct briefs to gender X junior counsel</t>
  </si>
  <si>
    <t>Total value of indirect briefs to gender X junior counsel</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</si>
  <si>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</si>
  <si>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</si>
  <si>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</si>
  <si>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</si>
  <si>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</si>
  <si>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</si>
  <si>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</si>
  <si>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</si>
  <si>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</si>
  <si>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</si>
  <si>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</si>
  <si>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</si>
  <si>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</si>
  <si>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</si>
  <si>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</si>
  <si>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</si>
  <si>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</si>
  <si>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</si>
  <si>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</si>
  <si>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</si>
  <si>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</si>
  <si>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</si>
  <si>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</si>
  <si>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</si>
  <si>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</si>
  <si>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</si>
  <si>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</si>
  <si>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</si>
  <si>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Lehmann Snell</t>
  </si>
  <si>
    <t>Lexbridge Lawyers</t>
  </si>
  <si>
    <t>Lipman Karas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</si>
  <si>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</si>
  <si>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</si>
  <si>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</si>
  <si>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</si>
  <si>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</si>
  <si>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</si>
  <si>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</si>
  <si>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</si>
  <si>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</si>
  <si>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</si>
  <si>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</si>
  <si>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</si>
  <si>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</si>
  <si>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</si>
  <si>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</si>
  <si>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</si>
  <si>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</si>
  <si>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</si>
  <si>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</si>
  <si>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T7 Total value of briefs to gender X Counsel</t>
  </si>
  <si>
    <t>T8 Total value of disbursements (excluding counsel)</t>
  </si>
  <si>
    <t>Template Guidance</t>
  </si>
  <si>
    <t>Professional Fees for work done by non-Panel firms with an Exemption from AGD</t>
  </si>
  <si>
    <t>Use of the Panel</t>
  </si>
  <si>
    <t>Professional Fees for work done by non-Panel firms as part of 10% off-Panel allowance</t>
  </si>
  <si>
    <t>Total value of professional fees</t>
  </si>
  <si>
    <t>T9 Total value of professional fees</t>
  </si>
  <si>
    <t>T10 Total value of professional fees - 10% off-Panel allowance</t>
  </si>
  <si>
    <t>T11 Total value of professional fees - Exemption from AGD</t>
  </si>
  <si>
    <t>Whole of Australian Government Legal Services Panel</t>
  </si>
  <si>
    <t>Use of WoAG Legal Services Panel flexibility mechanisms</t>
  </si>
  <si>
    <t xml:space="preserve">Does your Agency participate in the WoAG Legal Services Panel?
</t>
  </si>
  <si>
    <t>Professional Fees</t>
  </si>
  <si>
    <t xml:space="preserve">
The Whole of Australian Government (WoAG) Legal Services Panel is mandatory for all non-corporate Commonwealth entities when purchasing domestic external legal services, and opt-in for corporate Commonwealth entities. 
Participating agencies must report their 10% off-Panel Allowance expenditure and Exemptions expenditure annually to AGD within 60 days after the end of each financial year. The Panel Guidance Material can be found at &lt;https://legalservicespanel.agdnet.ag.gov.au/&gt;.
The figures reported below in relation to the use of the WoAG Legal Services Panel flexibility mechanisms should already be captured in the total value of professional fees reported in professional fees. In order to prevent double counting, the expenditure through the flexibility mechanisms will not be added to the total legal expenditure. </t>
  </si>
  <si>
    <r>
      <t xml:space="preserve">Attorney-General's Department </t>
    </r>
    <r>
      <rPr>
        <b/>
        <sz val="11"/>
        <color rgb="FFFF0000"/>
        <rFont val="Arial"/>
        <family val="2"/>
      </rPr>
      <t>DO NOT INCLUDE PANEL FEE HERE</t>
    </r>
  </si>
  <si>
    <t>Craddock Murray Neumann</t>
  </si>
  <si>
    <t>Piper Alderman</t>
  </si>
  <si>
    <t>LSP_Name</t>
  </si>
  <si>
    <t xml:space="preserve">
Please complete worksheet named 'A - Professional Fees'. The below field will automatically populate based on the information in that sheet.</t>
  </si>
  <si>
    <t>Other Government legal services providers</t>
  </si>
  <si>
    <t>Overseas legal services providers</t>
  </si>
  <si>
    <t>Domestic legal services providers</t>
  </si>
  <si>
    <r>
      <t xml:space="preserve">
This template has been approved by the Office of Legal Services Coordination (OLSC).
The template must be completed by all non-corporate and corporate Commonwealth entities and returned to OLSC within 60 days after the end of the financial year (see s.11.1(da) and s.12.3(f) of the </t>
    </r>
    <r>
      <rPr>
        <b/>
        <i/>
        <sz val="11"/>
        <color rgb="FFFF0000"/>
        <rFont val="Arial"/>
        <family val="2"/>
      </rPr>
      <t>Legal Services Directions 2017</t>
    </r>
    <r>
      <rPr>
        <b/>
        <sz val="11"/>
        <color rgb="FFFF0000"/>
        <rFont val="Arial"/>
        <family val="2"/>
      </rPr>
      <t xml:space="preserve">). Further guidance in relation to expenditure reporting is set out in Guidance Note 3 (Compliance with the Directions) and Guidance Note 8 (Reporting of Legal Services Expenditure) and can be found at &lt;www.ag.gov.au&gt;. 
Agencies that are </t>
    </r>
    <r>
      <rPr>
        <b/>
        <u/>
        <sz val="11"/>
        <color rgb="FFFF0000"/>
        <rFont val="Arial"/>
        <family val="2"/>
      </rPr>
      <t>exempt from reporting to AGD but participate in the WoAG Legal Services Panel</t>
    </r>
    <r>
      <rPr>
        <b/>
        <sz val="11"/>
        <color rgb="FFFF0000"/>
        <rFont val="Arial"/>
        <family val="2"/>
      </rPr>
      <t xml:space="preserve"> must complete a Certificate of Compliance and Expenditure for Non-reporting Agency and provide it to AGD within 90 days after the end of the financial year.
Please return this form by uploading the Excel document to the Legal Services Panel Portal (Portal users only) or emailing a copy to LSER@ag.gov.au.
Expenditure is reported on an accrual basis, using your agencies financial records. No information will be drawn from the Legal Services Panel quarterly expenditure reports submitted by Legal Services Providers, due to the transitional period this financial year. All figures are to be GST exclusive and rounded to the nearest dollar.
In addition to completing this report, all non-corporate Commonwealth entities are required to publish their legal services expenditure for the previous year by 30 October. No format is specified for the publication, but most agencies publish the data in their annual report, or on their website.</t>
    </r>
  </si>
  <si>
    <t xml:space="preserve">
For domestic legal services providers, either select the firm from the drop down menu
(all WoAG Legal Services Panel firms are included)
or type firm name.</t>
  </si>
  <si>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</si>
  <si>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</si>
  <si>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</si>
  <si>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</si>
  <si>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</si>
  <si>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</si>
  <si>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</si>
  <si>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</si>
  <si>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</si>
  <si>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</si>
  <si>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</si>
  <si>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</si>
  <si>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</si>
  <si>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</si>
  <si>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</si>
  <si>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</si>
  <si>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</si>
  <si>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</si>
  <si>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</si>
  <si>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</si>
  <si>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</si>
  <si>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</si>
  <si>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</si>
  <si>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</si>
  <si>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</si>
  <si>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</si>
  <si>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</si>
  <si>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</si>
  <si>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</si>
  <si>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</si>
  <si>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</si>
  <si>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</si>
  <si>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</si>
  <si>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</si>
  <si>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</si>
  <si>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</si>
  <si>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</si>
  <si>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</si>
  <si>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</si>
  <si>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Davis Faulkner Lawyers</t>
  </si>
  <si>
    <t>Hays Specialist Recruitment</t>
  </si>
  <si>
    <t>Arnold Bloch Leibler</t>
  </si>
  <si>
    <t>Midena Lawyers</t>
  </si>
  <si>
    <t>Jaramer Legal</t>
  </si>
  <si>
    <t>Seyfarth Shaw Australia</t>
  </si>
  <si>
    <t>Justitia</t>
  </si>
  <si>
    <t>Camatta Lempens Pty Ltd Lawyers</t>
  </si>
  <si>
    <t>Kingston Reid</t>
  </si>
  <si>
    <t>Wallmans Lawyers</t>
  </si>
  <si>
    <t>Spruson &amp; Ferguson</t>
  </si>
  <si>
    <t>Robert Welfare &amp; Associates</t>
  </si>
  <si>
    <t>Allen &amp; Overy</t>
  </si>
  <si>
    <t>Bowden McCormack</t>
  </si>
  <si>
    <t>Williams Winter Solicitors</t>
  </si>
  <si>
    <t>VMC Legal Pty Ltd</t>
  </si>
  <si>
    <t>Crawshaw Consulting</t>
  </si>
  <si>
    <t>Elringtons</t>
  </si>
  <si>
    <t>Comhar Group</t>
  </si>
  <si>
    <t>Franke Hyland</t>
  </si>
  <si>
    <t>Bird &amp; Bird</t>
  </si>
  <si>
    <t>Simpsons Solicitors</t>
  </si>
  <si>
    <t>Carroll &amp; O'Dea</t>
  </si>
  <si>
    <t>KCI Lawyers</t>
  </si>
  <si>
    <t>Seaton Legal Pty Ltd</t>
  </si>
  <si>
    <t>Norman Waterhouse</t>
  </si>
  <si>
    <t>Banki Haddock Fiora</t>
  </si>
  <si>
    <t>Matthews Folbigg</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</si>
  <si>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</si>
  <si>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</si>
  <si>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</si>
  <si>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</si>
  <si>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</si>
  <si>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</si>
  <si>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</si>
  <si>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</si>
  <si>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</si>
  <si>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</si>
  <si>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</si>
  <si>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</si>
  <si>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Asbestos Safety and Eradication Agency</t>
  </si>
  <si>
    <t>50 802 255 175</t>
  </si>
  <si>
    <t>Australia Council</t>
  </si>
  <si>
    <t>38 392 626 187</t>
  </si>
  <si>
    <t>Australian Bureau of Statistics</t>
  </si>
  <si>
    <t>26 331 428 522</t>
  </si>
  <si>
    <t>Australian Centre for International Agricultural Research</t>
  </si>
  <si>
    <t>34 864 955 427</t>
  </si>
  <si>
    <t>Australian Commission for Law Enforcement Integrity</t>
  </si>
  <si>
    <t>78 796 734 093</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</si>
  <si>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</si>
  <si>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</si>
  <si>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</si>
  <si>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</si>
  <si>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</si>
  <si>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</si>
  <si>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</si>
  <si>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</si>
  <si>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</si>
  <si>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</si>
  <si>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</si>
  <si>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</si>
  <si>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</si>
  <si>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</si>
  <si>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</si>
  <si>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</si>
  <si>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</si>
  <si>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</si>
  <si>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</si>
  <si>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</si>
  <si>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</si>
  <si>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</si>
  <si>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</si>
  <si>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</si>
  <si>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</si>
  <si>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</si>
  <si>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</si>
  <si>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</si>
  <si>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</si>
  <si>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</si>
  <si>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</si>
  <si>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</si>
  <si>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</si>
  <si>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</si>
  <si>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</si>
  <si>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</si>
  <si>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</si>
  <si>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</si>
  <si>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</si>
  <si>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</si>
  <si>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</si>
  <si>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</si>
  <si>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</si>
  <si>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</si>
  <si>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</si>
  <si>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</si>
  <si>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</si>
  <si>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</si>
  <si>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</si>
  <si>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</si>
  <si>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</si>
  <si>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</si>
  <si>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</si>
  <si>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</si>
  <si>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</si>
  <si>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</si>
  <si>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</si>
  <si>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</si>
  <si>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</si>
  <si>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</si>
  <si>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</si>
  <si>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</si>
  <si>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</si>
  <si>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</si>
  <si>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</si>
  <si>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</si>
  <si>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</si>
  <si>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</si>
  <si>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</si>
  <si>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</si>
  <si>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</si>
  <si>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</si>
  <si>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</si>
  <si>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</si>
  <si>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</si>
  <si>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</si>
  <si>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</si>
  <si>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</si>
  <si>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</si>
  <si>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</si>
  <si>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</si>
  <si>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Central Land Council</t>
  </si>
  <si>
    <t>Civil Aviation Safety Authority</t>
  </si>
  <si>
    <t>44 808 014 470</t>
  </si>
  <si>
    <t>Clean Energy Finance Corporation</t>
  </si>
  <si>
    <t>43 669 904 352</t>
  </si>
  <si>
    <t>Clean Energy Regulator</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</si>
  <si>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</si>
  <si>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</si>
  <si>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</si>
  <si>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</si>
  <si>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</si>
  <si>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</si>
  <si>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</si>
  <si>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</si>
  <si>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</si>
  <si>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</si>
  <si>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</si>
  <si>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</si>
  <si>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</si>
  <si>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</si>
  <si>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Defence</t>
  </si>
  <si>
    <t>68 706 814 312</t>
  </si>
  <si>
    <t>12 862 898 150</t>
  </si>
  <si>
    <t>Department of Finance</t>
  </si>
  <si>
    <t>61 970 632 495</t>
  </si>
  <si>
    <t>47 065 634 525</t>
  </si>
  <si>
    <t>83 605 426 759</t>
  </si>
  <si>
    <t>Department of Home Affairs</t>
  </si>
  <si>
    <t>33 380 054 835</t>
  </si>
  <si>
    <t>74 599 608 295</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</si>
  <si>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</si>
  <si>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</si>
  <si>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</si>
  <si>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</si>
  <si>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</si>
  <si>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</si>
  <si>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</si>
  <si>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</si>
  <si>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</si>
  <si>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</si>
  <si>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</si>
  <si>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</si>
  <si>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</si>
  <si>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</si>
  <si>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</si>
  <si>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</si>
  <si>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</si>
  <si>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</si>
  <si>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</si>
  <si>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</si>
  <si>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</si>
  <si>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</si>
  <si>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</si>
  <si>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</si>
  <si>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</si>
  <si>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</si>
  <si>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</si>
  <si>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</si>
  <si>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Grains Research and Development Corporation</t>
  </si>
  <si>
    <t>55 611 223 291</t>
  </si>
  <si>
    <t>Great Barrier Reef Marine Park Authority</t>
  </si>
  <si>
    <t>12 949 356 885</t>
  </si>
  <si>
    <t>27 598 959 960</t>
  </si>
  <si>
    <t>Independent Parliamentary Expenses Authority</t>
  </si>
  <si>
    <t>Indigenous Business Australia</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</si>
  <si>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</si>
  <si>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</si>
  <si>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</si>
  <si>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</si>
  <si>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</si>
  <si>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</si>
  <si>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</si>
  <si>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</si>
  <si>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</si>
  <si>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</si>
  <si>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</si>
  <si>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</si>
  <si>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</si>
  <si>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</si>
  <si>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</si>
  <si>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</si>
  <si>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</si>
  <si>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</si>
  <si>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</si>
  <si>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</si>
  <si>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National Faster Rail Agency</t>
  </si>
  <si>
    <t>37 602 468 249</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</si>
  <si>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</si>
  <si>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</si>
  <si>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</si>
  <si>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</si>
  <si>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</si>
  <si>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</si>
  <si>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</si>
  <si>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</si>
  <si>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National Housing Finance and Investment Corporation</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</si>
  <si>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</si>
  <si>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</si>
  <si>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</si>
  <si>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</si>
  <si>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</si>
  <si>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</si>
  <si>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</si>
  <si>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</si>
  <si>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</si>
  <si>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</si>
  <si>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</si>
  <si>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</si>
  <si>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</si>
  <si>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</si>
  <si>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</si>
  <si>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</si>
  <si>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</si>
  <si>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North Queensland Water Infrastructure Authority</t>
  </si>
  <si>
    <t>61 900 398 761</t>
  </si>
  <si>
    <t>83 960 779 392</t>
  </si>
  <si>
    <t>Northern Land Council</t>
  </si>
  <si>
    <t>41 425 630 817</t>
  </si>
  <si>
    <t>Office of the Auditing and Assurance Standards Board</t>
  </si>
  <si>
    <t>80 959 780 601</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</si>
  <si>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</si>
  <si>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</si>
  <si>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</si>
  <si>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</si>
  <si>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</si>
  <si>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</si>
  <si>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</si>
  <si>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</si>
  <si>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</si>
  <si>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</si>
  <si>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</si>
  <si>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</si>
  <si>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</si>
  <si>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</si>
  <si>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</si>
  <si>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</si>
  <si>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</si>
  <si>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</si>
  <si>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</si>
  <si>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</si>
  <si>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</si>
  <si>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</si>
  <si>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</si>
  <si>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</si>
  <si>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</si>
  <si>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</si>
  <si>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</si>
  <si>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</si>
  <si>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</si>
  <si>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</si>
  <si>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</si>
  <si>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</si>
  <si>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</si>
  <si>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</si>
  <si>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</si>
  <si>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</si>
  <si>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</si>
  <si>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</si>
  <si>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</si>
  <si>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</si>
  <si>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</si>
  <si>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</si>
  <si>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</si>
  <si>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</si>
  <si>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</si>
  <si>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</si>
  <si>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</si>
  <si>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</si>
  <si>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</si>
  <si>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</si>
  <si>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</si>
  <si>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</si>
  <si>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</si>
  <si>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</si>
  <si>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</si>
  <si>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</si>
  <si>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</si>
  <si>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</si>
  <si>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</si>
  <si>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</si>
  <si>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</si>
  <si>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</si>
  <si>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</si>
  <si>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</si>
  <si>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</si>
  <si>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</si>
  <si>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</si>
  <si>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</si>
  <si>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</si>
  <si>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</si>
  <si>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</si>
  <si>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</si>
  <si>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</si>
  <si>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</si>
  <si>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</si>
  <si>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</si>
  <si>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</si>
  <si>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</si>
  <si>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</si>
  <si>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</si>
  <si>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</si>
  <si>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</si>
  <si>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</si>
  <si>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</si>
  <si>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</si>
  <si>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</si>
  <si>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</si>
  <si>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</si>
  <si>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</si>
  <si>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</si>
  <si>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</si>
  <si>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</si>
  <si>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</si>
  <si>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</si>
  <si>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</si>
  <si>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</si>
  <si>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</si>
  <si>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</si>
  <si>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</si>
  <si>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</si>
  <si>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</si>
  <si>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</si>
  <si>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</si>
  <si>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</si>
  <si>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</si>
  <si>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</si>
  <si>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</si>
  <si>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</si>
  <si>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</si>
  <si>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</si>
  <si>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</si>
  <si>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</si>
  <si>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</si>
  <si>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</si>
  <si>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</si>
  <si>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</si>
  <si>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</si>
  <si>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</si>
  <si>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</si>
  <si>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</si>
  <si>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</si>
  <si>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</si>
  <si>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</si>
  <si>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</si>
  <si>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</si>
  <si>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</si>
  <si>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</si>
  <si>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</si>
  <si>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</si>
  <si>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</si>
  <si>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</si>
  <si>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</si>
  <si>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</si>
  <si>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</si>
  <si>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</si>
  <si>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</si>
  <si>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</si>
  <si>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</si>
  <si>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</si>
  <si>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</si>
  <si>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</si>
  <si>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</si>
  <si>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</si>
  <si>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</si>
  <si>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</si>
  <si>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</si>
  <si>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</si>
  <si>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</si>
  <si>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</si>
  <si>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</si>
  <si>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</si>
  <si>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</si>
  <si>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</si>
  <si>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</si>
  <si>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</si>
  <si>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</si>
  <si>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</si>
  <si>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</si>
  <si>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</si>
  <si>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</si>
  <si>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</si>
  <si>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</si>
  <si>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</si>
  <si>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</si>
  <si>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</si>
  <si>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</si>
  <si>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</si>
  <si>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</si>
  <si>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</si>
  <si>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</si>
  <si>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</si>
  <si>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</si>
  <si>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</si>
  <si>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</si>
  <si>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</si>
  <si>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</si>
  <si>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</si>
  <si>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</si>
  <si>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</si>
  <si>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</si>
  <si>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</si>
  <si>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</si>
  <si>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</si>
  <si>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</si>
  <si>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</si>
  <si>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</si>
  <si>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</si>
  <si>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</si>
  <si>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</si>
  <si>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</si>
  <si>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</si>
  <si>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</si>
  <si>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</si>
  <si>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</si>
  <si>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</si>
  <si>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</si>
  <si>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</si>
  <si>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</si>
  <si>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</si>
  <si>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</si>
  <si>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</si>
  <si>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</si>
  <si>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</si>
  <si>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</si>
  <si>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</si>
  <si>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</si>
  <si>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</si>
  <si>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</si>
  <si>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</si>
  <si>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</si>
  <si>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</si>
  <si>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</si>
  <si>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</si>
  <si>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</si>
  <si>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</si>
  <si>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</si>
  <si>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</si>
  <si>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</si>
  <si>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</si>
  <si>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</si>
  <si>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</si>
  <si>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</si>
  <si>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</si>
  <si>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</si>
  <si>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</si>
  <si>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</si>
  <si>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</si>
  <si>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Domestic external legal services providers include solicitors and similar service providers, including government legal services providers such as the Austrailan Government Solicitor (AGS), that conduct their business in Australia.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</si>
  <si>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</si>
  <si>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</si>
  <si>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Is another domestic provider required?</t>
  </si>
  <si>
    <t>Indirect Briefs to male senior counsel</t>
  </si>
  <si>
    <t>Indirect Briefs to female senior counsel</t>
  </si>
  <si>
    <t>Indirect Briefs to gender X senior counsel</t>
  </si>
  <si>
    <t>Does your entity participate in the Whole of Australian Government Legal Services Panel?</t>
  </si>
  <si>
    <t>Entity Details</t>
  </si>
  <si>
    <t>What is the name of your entity? (Choose from list)</t>
  </si>
  <si>
    <t>ENTITY NOT LISTED</t>
  </si>
  <si>
    <t>26 424 781 530</t>
  </si>
  <si>
    <t>LK Law Pty Ltd</t>
  </si>
  <si>
    <t xml:space="preserve">Adaptbl </t>
  </si>
  <si>
    <t>Addisons</t>
  </si>
  <si>
    <t xml:space="preserve">Australian Family Lawyers </t>
  </si>
  <si>
    <t>BAL Lawyers</t>
  </si>
  <si>
    <t>Balazs Lazanas &amp; Welch LLP</t>
  </si>
  <si>
    <t>Bambrick Legal</t>
  </si>
  <si>
    <t>Beach Street Lawyers</t>
  </si>
  <si>
    <t>Bennett &amp; Co</t>
  </si>
  <si>
    <t>Boylan Lawyers</t>
  </si>
  <si>
    <t>Buse Heberer Fromm Pty Ltd</t>
  </si>
  <si>
    <t>Chalk &amp; Berehndt, Lawyers &amp; Consultants</t>
  </si>
  <si>
    <t>Clyde &amp; Co Australia</t>
  </si>
  <si>
    <t>Cockburn Legal</t>
  </si>
  <si>
    <t>Costs Law SA</t>
  </si>
  <si>
    <t>Coulson Legal</t>
  </si>
  <si>
    <t>Darwin NT Lawyers</t>
  </si>
  <si>
    <t>Davies Collison Cave</t>
  </si>
  <si>
    <t>Dawes &amp; Vary Riordan</t>
  </si>
  <si>
    <t>De Silva Hebron</t>
  </si>
  <si>
    <t>DFC Legal Pty Ltd</t>
  </si>
  <si>
    <t>EI Legal</t>
  </si>
  <si>
    <t>Ellery Brookman</t>
  </si>
  <si>
    <t>EMA Legal</t>
  </si>
  <si>
    <t>Ernst &amp; Young</t>
  </si>
  <si>
    <t>FLA Partners</t>
  </si>
  <si>
    <t>Fragomen Australia</t>
  </si>
  <si>
    <t>Franklin Athanasellis Cullen</t>
  </si>
  <si>
    <t xml:space="preserve">Giddy &amp; Crittenden </t>
  </si>
  <si>
    <t>Hamilton Locke</t>
  </si>
  <si>
    <t>Hartigan Law</t>
  </si>
  <si>
    <t>Kamy Saeedi Law</t>
  </si>
  <si>
    <t>Katemaru Legal and Investigation</t>
  </si>
  <si>
    <t>Legal Point Lawyers &amp; Attorneys</t>
  </si>
  <si>
    <t>LegalVision</t>
  </si>
  <si>
    <t>Loupe Legal Pty Ltd</t>
  </si>
  <si>
    <t xml:space="preserve">Maley Barristers &amp; Solicitors </t>
  </si>
  <si>
    <t>Matthews Legal</t>
  </si>
  <si>
    <t>McArthur Pty Ltd</t>
  </si>
  <si>
    <t>MPS Law</t>
  </si>
  <si>
    <t>Neville Hourn + Borg</t>
  </si>
  <si>
    <t>Nicole Evans Lawyers</t>
  </si>
  <si>
    <t>O'Rourke Consulting</t>
  </si>
  <si>
    <t>Osborne Legal</t>
  </si>
  <si>
    <t>Pendlebury Workplace Law</t>
  </si>
  <si>
    <t>People &amp; Culture Strategies Pty Limited</t>
  </si>
  <si>
    <t>Pizzeys Patent and Trade Mark Attorneys</t>
  </si>
  <si>
    <t>Plexus Services Pty Ltd</t>
  </si>
  <si>
    <t>Preston Law</t>
  </si>
  <si>
    <t>Prolegis Lawyers</t>
  </si>
  <si>
    <t>Provenance Legal</t>
  </si>
  <si>
    <t>Putt Legal</t>
  </si>
  <si>
    <t>Radford Lawyers</t>
  </si>
  <si>
    <t>Relatbl Recruiting</t>
  </si>
  <si>
    <t>RMB Lawyers</t>
  </si>
  <si>
    <t>Roberts Nehmer McKee</t>
  </si>
  <si>
    <t>Roger Featherston, Lawyer</t>
  </si>
  <si>
    <t>RSM Financial Services Australia Pty Ltd</t>
  </si>
  <si>
    <t>Salerno Law Pty Ltd</t>
  </si>
  <si>
    <t>Slater &amp; Gordon</t>
  </si>
  <si>
    <t>Somerville Legal</t>
  </si>
  <si>
    <t>Tucker Partners Legal Pty Ltd</t>
  </si>
  <si>
    <t>Twine Business &amp; Law Pty Ltd</t>
  </si>
  <si>
    <t>Vincent Young</t>
  </si>
  <si>
    <t xml:space="preserve">Walter Madden Jenkins </t>
  </si>
  <si>
    <t>Ward Keller</t>
  </si>
  <si>
    <t>West Garbutt</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</si>
  <si>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</si>
  <si>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</si>
  <si>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</si>
  <si>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Legal Services Expenditure Report 2022-23</t>
  </si>
  <si>
    <t xml:space="preserve">
In section 1 you are required to report the total value of your entity's internal legal services expenditure for 2022-23.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</si>
  <si>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t>
  </si>
  <si>
    <t xml:space="preserve">
The completed template is to be returned to OLSC within 60 days after the end of the financial year (29 August 2023). Please email a copy to LSER@ag.gov.au. If your entity is not able to meet this deadline please email LSER@ag.gov.au as early as possible.
</t>
  </si>
  <si>
    <t xml:space="preserve">
In this section you are required to report the total value of your entity's internal legal services expenditure for 2022-23.
</t>
  </si>
  <si>
    <t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t>
  </si>
  <si>
    <t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</si>
  <si>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t>
  </si>
  <si>
    <t>What was your entity's Panel fee for 2022-23?</t>
  </si>
  <si>
    <t>Total value of professional fee expenditure on Provision of Tax Technical Legal Services Panel for 2022-23</t>
  </si>
  <si>
    <t>Total value of professional fee expenditure on ACCC/AER Competition and Consumer Panel 2019 for 2022-23</t>
  </si>
  <si>
    <t xml:space="preserve">
The figures must be whole dollar amounts, GST exclusive. Figures including cents will not be accepted. If there was no expenditure, enter '0' for a value of $0.
</t>
  </si>
  <si>
    <t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</si>
  <si>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In this section you are required to review and confirm the summary totals for your entity's 2022-23 Legal Services Expenditure Report based on what you entered in the Entry form sheet.
</t>
  </si>
  <si>
    <t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t>
  </si>
  <si>
    <t xml:space="preserve">
Only a brief description of the reason or reasons for the increase/decrease is required. It is not necessary to go into the specifics of a matter. Any commentary provided will not be made public or shared with other entities.
</t>
  </si>
  <si>
    <t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t>
  </si>
  <si>
    <t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t>
  </si>
  <si>
    <t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t>
  </si>
  <si>
    <t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t>
  </si>
  <si>
    <t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t>
  </si>
  <si>
    <r>
      <t xml:space="preserve">
Equitable briefing policy: ‘senior’ means a barrister of 10+ years experience at the Bar </t>
    </r>
    <r>
      <rPr>
        <b/>
        <i/>
        <sz val="10"/>
        <color rgb="FFFF0000"/>
        <rFont val="Arial"/>
        <family val="2"/>
      </rPr>
      <t>or</t>
    </r>
    <r>
      <rPr>
        <i/>
        <sz val="10"/>
        <color rgb="FFFF0000"/>
        <rFont val="Arial"/>
        <family val="2"/>
      </rPr>
      <t xml:space="preserve"> a King’s/Senior Counsel. For 2022-23 reports, include </t>
    </r>
    <r>
      <rPr>
        <b/>
        <i/>
        <u/>
        <sz val="10"/>
        <color rgb="FFFF0000"/>
        <rFont val="Arial"/>
        <family val="2"/>
      </rPr>
      <t>2013</t>
    </r>
    <r>
      <rPr>
        <i/>
        <sz val="10"/>
        <color rgb="FFFF0000"/>
        <rFont val="Arial"/>
        <family val="2"/>
      </rPr>
      <t xml:space="preserve"> barristers.</t>
    </r>
  </si>
  <si>
    <t>What was your WoAG Legal Services Panel Fee (2022-23)</t>
  </si>
  <si>
    <t>Agile Legal Consulting</t>
  </si>
  <si>
    <t>Betteridge Legal Consulting</t>
  </si>
  <si>
    <t>BROWN WRIGHT STEIN</t>
  </si>
  <si>
    <t>Costs Partners Pty Limited</t>
  </si>
  <si>
    <t>Coulter Roache Lawyers Pty Ltd</t>
  </si>
  <si>
    <t>Cozens Johansen Lawyers</t>
  </si>
  <si>
    <t>CREATIVE LAWYERS PTY LTD</t>
  </si>
  <si>
    <t>Cross Country Native Title Services</t>
  </si>
  <si>
    <t>Davies Collision Cave Pty Ltd</t>
  </si>
  <si>
    <t>Devenish Law</t>
  </si>
  <si>
    <t>FCB Workplace Law</t>
  </si>
  <si>
    <t>Finlaysons Lawyers</t>
  </si>
  <si>
    <t>Goulden Legal Services Pty Ltd</t>
  </si>
  <si>
    <t>Hogan Lovells</t>
  </si>
  <si>
    <t>Ken Cush &amp; Associates</t>
  </si>
  <si>
    <t>Kott Gunning Lawyers</t>
  </si>
  <si>
    <t>Lavan</t>
  </si>
  <si>
    <t>Ligeti Partners Lawyers</t>
  </si>
  <si>
    <t>Low Doherty &amp; Stratford</t>
  </si>
  <si>
    <t>Mason Black + Mendelsons</t>
  </si>
  <si>
    <t>Miller Harris Lawyers</t>
  </si>
  <si>
    <t>Milstein &amp; Associates</t>
  </si>
  <si>
    <t>Moores</t>
  </si>
  <si>
    <t>O'Loughlins Lawyers</t>
  </si>
  <si>
    <t>Pacific Legal Network</t>
  </si>
  <si>
    <t>PFM  Legal  Pty Ltd</t>
  </si>
  <si>
    <t>Phillip Riley Projects Pty Ltd</t>
  </si>
  <si>
    <t>Povey Stirk</t>
  </si>
  <si>
    <t>Rigby Cooke Lawyers</t>
  </si>
  <si>
    <t>Rumpoles Legal Services</t>
  </si>
  <si>
    <t>Shand Taylor Lawyers</t>
  </si>
  <si>
    <t>Sutton Lawyers</t>
  </si>
  <si>
    <t>Synergy Law</t>
  </si>
  <si>
    <t>Talent International (ACT) Pty Ltd</t>
  </si>
  <si>
    <t>Walsh Day James</t>
  </si>
  <si>
    <t>Welcome Legal</t>
  </si>
  <si>
    <t>Wilson Ryan Grose Lawyers</t>
  </si>
  <si>
    <t>51 824 753 556</t>
  </si>
  <si>
    <t>21 075 951 918</t>
  </si>
  <si>
    <t>71 979 619 393</t>
  </si>
  <si>
    <t>72 321 984 210</t>
  </si>
  <si>
    <t>Department of Agriculture, Fisheries and Forestry</t>
  </si>
  <si>
    <t>24 113 085 695</t>
  </si>
  <si>
    <t>Department of Climate Change, Energy, the Environment and Water</t>
  </si>
  <si>
    <t>63 573 932 849</t>
  </si>
  <si>
    <t>Department of Education</t>
  </si>
  <si>
    <t>Department of Employment and Workplace Relations</t>
  </si>
  <si>
    <t>96 584 957 427</t>
  </si>
  <si>
    <t>Department of Health and Aged Care</t>
  </si>
  <si>
    <t>Department of Industry, Science and Resources</t>
  </si>
  <si>
    <t>Department of Infrastructure, Transport, Regional Development, Communications and the Arts</t>
  </si>
  <si>
    <t>23 964 290 824</t>
  </si>
  <si>
    <t>Domestic, Family and Sexual Violence Commission</t>
  </si>
  <si>
    <t>99 696 833 561</t>
  </si>
  <si>
    <t>53 156 699 293</t>
  </si>
  <si>
    <t>Independent Health and Aged Care Pricing Authority</t>
  </si>
  <si>
    <t>25 192 932 833</t>
  </si>
  <si>
    <t>National Emergency Management Agency</t>
  </si>
  <si>
    <t>40 816 261 802</t>
  </si>
  <si>
    <t>56 327 515 336</t>
  </si>
  <si>
    <t>Office of the Fair Work Ombudsman</t>
  </si>
  <si>
    <t>Office of the Australian Accounting Standards Board</t>
  </si>
  <si>
    <t>Northern Australia Infrastructure Facility</t>
  </si>
  <si>
    <t>Affected by MoG</t>
  </si>
  <si>
    <t>Affected by MoG - added 0 as difficult to calculate comparison</t>
  </si>
  <si>
    <t>Previously known as Independent Hospital Pricing Authority</t>
  </si>
  <si>
    <t>Affected by the MoG - Essentially a reconstitution of the National Recovery and Resilience Agency</t>
  </si>
  <si>
    <t>New entity</t>
  </si>
  <si>
    <t>New entity - Combines Fair Work Ombudsman and Australian Building and Construction Commission</t>
  </si>
  <si>
    <t>Affected by MoG - added 0 as difficult to calculate comparison. Also includes the Registered Organisations Commission, which functions were abolished</t>
  </si>
  <si>
    <t>Will be abolished from 23-24. Functions to be absorbed by Department of Climate Change. Should still report</t>
  </si>
  <si>
    <t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t>
  </si>
  <si>
    <t>The increase in internal legal expenditure is primarily attributed to recruitment and associated travel costs for the Counsel Assisting Team, Examinations Branch.  The increase in external legal expenditure is primarily attributed to multiple contempt proceedings being brought by the ACIC against examinees who failed to comply with an Examiner's direction (and associated appeals and re-sentence hearings).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</si>
</sst>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52" x14ac:knownFonts="1">
    <font>
      <sz val="11"/>
      <color theme="1"/>
      <name val="Calibri"/>
      <family val="2"/>
      <scheme val="minor"/>
    </font>
    <font>
      <sz val="11"/>
      <name val="Arial"/>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rgb="FFFF0000"/>
      <name val="Arial"/>
      <family val="2"/>
    </font>
    <font>
      <b/>
      <sz val="12"/>
      <color rgb="FF00B0F0"/>
      <name val="Calibri"/>
      <family val="2"/>
      <scheme val="minor"/>
    </font>
    <font>
      <b/>
      <sz val="11"/>
      <color rgb="FF0070C0"/>
      <name val="Arial"/>
      <family val="2"/>
    </font>
    <font>
      <sz val="11"/>
      <color rgb="FFFF0000"/>
      <name val="Arial"/>
      <family val="2"/>
    </font>
    <font>
      <i/>
      <sz val="10"/>
      <color rgb="FFFF0000"/>
      <name val="Arial"/>
      <family val="2"/>
    </font>
    <font>
      <b/>
      <i/>
      <sz val="10"/>
      <color rgb="FFFF0000"/>
      <name val="Arial"/>
      <family val="2"/>
    </font>
    <font>
      <b/>
      <sz val="11"/>
      <color rgb="FFFF0000"/>
      <name val="Arial"/>
      <family val="2"/>
    </font>
    <font>
      <b/>
      <sz val="11"/>
      <name val="Arial"/>
      <family val="2"/>
    </font>
    <font>
      <b/>
      <sz val="11"/>
      <color theme="0" tint="-0.499984740745262"/>
      <name val="Arial"/>
      <family val="2"/>
    </font>
    <font>
      <b/>
      <u/>
      <sz val="11"/>
      <color rgb="FFFF0000"/>
      <name val="Arial"/>
      <family val="2"/>
    </font>
    <font>
      <b/>
      <sz val="12"/>
      <color rgb="FFFFFFFF"/>
      <name val="Calibri"/>
      <family val="2"/>
    </font>
    <font>
      <sz val="12"/>
      <color rgb="FF000000"/>
      <name val="Calibri"/>
      <family val="2"/>
    </font>
    <font>
      <b/>
      <i/>
      <u/>
      <sz val="10"/>
      <color rgb="FFFF0000"/>
      <name val="Arial"/>
      <family val="2"/>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428BCA"/>
        <bgColor rgb="FFFFFFFF"/>
      </patternFill>
    </fill>
    <fill>
      <patternFill patternType="solid">
        <fgColor rgb="FFFFFFFF"/>
        <bgColor rgb="FFFFFFFF"/>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44" fontId="2" fillId="0" borderId="0" applyFon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10" borderId="30" applyNumberFormat="0" applyAlignment="0" applyProtection="0"/>
    <xf numFmtId="0" fontId="22" fillId="11" borderId="31" applyNumberFormat="0" applyAlignment="0" applyProtection="0"/>
    <xf numFmtId="0" fontId="23" fillId="0" borderId="0" applyNumberFormat="0" applyFill="0" applyBorder="0" applyAlignment="0" applyProtection="0"/>
    <xf numFmtId="0" fontId="26" fillId="12" borderId="32" applyNumberFormat="0" applyAlignment="0" applyProtection="0"/>
    <xf numFmtId="0" fontId="28" fillId="13" borderId="0" applyNumberFormat="0" applyBorder="0" applyAlignment="0" applyProtection="0"/>
    <xf numFmtId="0" fontId="29" fillId="12" borderId="30" applyNumberFormat="0" applyAlignment="0" applyProtection="0"/>
    <xf numFmtId="0" fontId="33" fillId="0" borderId="38" applyNumberFormat="0" applyFill="0" applyAlignment="0" applyProtection="0"/>
    <xf numFmtId="0" fontId="2" fillId="19" borderId="39" applyNumberFormat="0" applyFont="0" applyAlignment="0" applyProtection="0"/>
  </cellStyleXfs>
  <cellXfs count="279">
    <xf numFmtId="0" fontId="0" fillId="0" borderId="0" xfId="0"/>
    <xf numFmtId="0" fontId="4" fillId="0" borderId="0" xfId="0" applyFont="1" applyBorder="1"/>
    <xf numFmtId="0" fontId="1" fillId="0" borderId="0" xfId="0" applyFont="1" applyBorder="1"/>
    <xf numFmtId="0" fontId="4" fillId="0" borderId="0" xfId="0" applyFont="1" applyFill="1" applyBorder="1"/>
    <xf numFmtId="0" fontId="7" fillId="0" borderId="0" xfId="0" applyFont="1"/>
    <xf numFmtId="0" fontId="4" fillId="5" borderId="0" xfId="0" applyFont="1" applyFill="1" applyBorder="1"/>
    <xf numFmtId="0" fontId="4" fillId="5" borderId="5" xfId="0" applyFont="1" applyFill="1" applyBorder="1"/>
    <xf numFmtId="0" fontId="4" fillId="5" borderId="7" xfId="0" applyFont="1" applyFill="1" applyBorder="1"/>
    <xf numFmtId="0" fontId="4" fillId="5" borderId="3" xfId="0" applyFont="1" applyFill="1" applyBorder="1"/>
    <xf numFmtId="0" fontId="4" fillId="5" borderId="6" xfId="0" applyFont="1" applyFill="1" applyBorder="1"/>
    <xf numFmtId="0" fontId="4" fillId="5" borderId="8" xfId="0" applyFont="1" applyFill="1" applyBorder="1"/>
    <xf numFmtId="0" fontId="4" fillId="5" borderId="9" xfId="0" applyFont="1" applyFill="1" applyBorder="1"/>
    <xf numFmtId="0" fontId="0" fillId="5" borderId="6" xfId="0" applyFill="1" applyBorder="1"/>
    <xf numFmtId="0" fontId="0" fillId="5" borderId="8" xfId="0" applyFill="1" applyBorder="1"/>
    <xf numFmtId="0" fontId="0" fillId="5" borderId="9" xfId="0" applyFill="1" applyBorder="1"/>
    <xf numFmtId="0" fontId="4" fillId="5" borderId="11" xfId="0" applyFont="1" applyFill="1" applyBorder="1"/>
    <xf numFmtId="0" fontId="0" fillId="0" borderId="0" xfId="0" applyFill="1"/>
    <xf numFmtId="0" fontId="3" fillId="0" borderId="5" xfId="0" applyFont="1" applyBorder="1" applyAlignment="1">
      <alignment vertical="center"/>
    </xf>
    <xf numFmtId="164" fontId="4" fillId="2" borderId="12" xfId="1" applyNumberFormat="1" applyFont="1" applyFill="1" applyBorder="1" applyAlignment="1" applyProtection="1">
      <alignment horizontal="right" vertical="center"/>
    </xf>
    <xf numFmtId="0" fontId="3" fillId="0" borderId="7" xfId="0" applyFont="1" applyBorder="1" applyAlignment="1">
      <alignment vertical="center"/>
    </xf>
    <xf numFmtId="164" fontId="4" fillId="3" borderId="13" xfId="1" applyNumberFormat="1" applyFont="1" applyFill="1" applyBorder="1" applyAlignment="1" applyProtection="1">
      <alignment horizontal="right" vertical="center"/>
      <protection locked="0"/>
    </xf>
    <xf numFmtId="0" fontId="3" fillId="0" borderId="3" xfId="0" applyFont="1" applyBorder="1" applyAlignment="1">
      <alignment vertical="center"/>
    </xf>
    <xf numFmtId="164" fontId="4" fillId="2" borderId="14" xfId="1" applyNumberFormat="1" applyFont="1" applyFill="1" applyBorder="1" applyAlignment="1" applyProtection="1">
      <alignment horizontal="right" vertical="center"/>
    </xf>
    <xf numFmtId="44" fontId="4" fillId="5" borderId="11" xfId="1" applyFont="1" applyFill="1" applyBorder="1" applyAlignment="1" applyProtection="1">
      <alignment horizontal="right" vertical="center"/>
    </xf>
    <xf numFmtId="0" fontId="3" fillId="5" borderId="4" xfId="0" applyFont="1" applyFill="1" applyBorder="1" applyAlignment="1">
      <alignment vertical="center"/>
    </xf>
    <xf numFmtId="0" fontId="3" fillId="0" borderId="0" xfId="0" applyFont="1" applyBorder="1" applyAlignment="1">
      <alignment vertical="center"/>
    </xf>
    <xf numFmtId="44" fontId="4" fillId="0" borderId="0" xfId="1" applyFont="1" applyFill="1" applyBorder="1" applyAlignment="1" applyProtection="1">
      <alignment horizontal="right" vertical="center"/>
    </xf>
    <xf numFmtId="0" fontId="4" fillId="0" borderId="16" xfId="0" applyFont="1" applyFill="1" applyBorder="1" applyAlignment="1">
      <alignment vertical="top"/>
    </xf>
    <xf numFmtId="0" fontId="4" fillId="0" borderId="16" xfId="0" applyFont="1" applyFill="1" applyBorder="1" applyAlignment="1"/>
    <xf numFmtId="164" fontId="4" fillId="4" borderId="13" xfId="1" applyNumberFormat="1" applyFont="1" applyFill="1" applyBorder="1" applyAlignment="1" applyProtection="1">
      <protection locked="0"/>
    </xf>
    <xf numFmtId="164" fontId="4" fillId="3" borderId="13" xfId="1" applyNumberFormat="1" applyFont="1" applyFill="1" applyBorder="1" applyAlignment="1" applyProtection="1">
      <protection locked="0"/>
    </xf>
    <xf numFmtId="0" fontId="4" fillId="0" borderId="3" xfId="0" applyFont="1" applyFill="1" applyBorder="1" applyAlignment="1"/>
    <xf numFmtId="0" fontId="4" fillId="0" borderId="17" xfId="0" applyFont="1" applyFill="1" applyBorder="1" applyAlignment="1">
      <alignment vertical="top"/>
    </xf>
    <xf numFmtId="0" fontId="4" fillId="0" borderId="17" xfId="0" applyFont="1" applyFill="1" applyBorder="1" applyAlignment="1"/>
    <xf numFmtId="44" fontId="4" fillId="0" borderId="0" xfId="1" applyFont="1" applyBorder="1" applyAlignment="1" applyProtection="1">
      <alignment horizontal="right" vertical="center"/>
    </xf>
    <xf numFmtId="0" fontId="4" fillId="0" borderId="0" xfId="0" applyFont="1" applyFill="1" applyBorder="1" applyAlignment="1">
      <alignment vertical="top"/>
    </xf>
    <xf numFmtId="0" fontId="3" fillId="0" borderId="18" xfId="0" applyFont="1" applyFill="1" applyBorder="1" applyAlignment="1">
      <alignment vertical="top"/>
    </xf>
    <xf numFmtId="0" fontId="3" fillId="5" borderId="11" xfId="0" applyFont="1" applyFill="1" applyBorder="1" applyAlignment="1">
      <alignment vertical="top"/>
    </xf>
    <xf numFmtId="44" fontId="4" fillId="5" borderId="11" xfId="1" applyNumberFormat="1" applyFont="1" applyFill="1" applyBorder="1" applyAlignment="1" applyProtection="1">
      <alignment horizontal="right" vertical="center"/>
    </xf>
    <xf numFmtId="0" fontId="3" fillId="6" borderId="18" xfId="0" applyFont="1" applyFill="1" applyBorder="1" applyAlignment="1">
      <alignment vertical="top"/>
    </xf>
    <xf numFmtId="44" fontId="4" fillId="0" borderId="19" xfId="1" applyFont="1" applyBorder="1" applyAlignment="1" applyProtection="1">
      <alignment horizontal="right" vertical="center"/>
    </xf>
    <xf numFmtId="0" fontId="3" fillId="0" borderId="20" xfId="0" applyFont="1" applyFill="1" applyBorder="1"/>
    <xf numFmtId="44" fontId="4" fillId="0" borderId="14" xfId="1" applyFont="1" applyBorder="1" applyAlignment="1" applyProtection="1">
      <alignment horizontal="right" vertical="center"/>
    </xf>
    <xf numFmtId="0" fontId="3" fillId="0" borderId="1" xfId="0" applyFont="1" applyFill="1" applyBorder="1" applyAlignment="1">
      <alignment vertical="top"/>
    </xf>
    <xf numFmtId="44" fontId="4" fillId="0" borderId="21" xfId="1" applyFont="1" applyBorder="1" applyAlignment="1" applyProtection="1">
      <alignment horizontal="right" vertical="center"/>
    </xf>
    <xf numFmtId="0" fontId="3" fillId="6" borderId="22" xfId="0" applyFont="1" applyFill="1" applyBorder="1"/>
    <xf numFmtId="0" fontId="3" fillId="0" borderId="0" xfId="0" applyFont="1" applyFill="1" applyBorder="1" applyAlignment="1">
      <alignment vertical="top"/>
    </xf>
    <xf numFmtId="44" fontId="4" fillId="0" borderId="0" xfId="1" applyNumberFormat="1" applyFont="1" applyFill="1" applyBorder="1" applyAlignment="1" applyProtection="1">
      <alignment horizontal="right" vertical="center"/>
    </xf>
    <xf numFmtId="0" fontId="4" fillId="5" borderId="11" xfId="0" applyFont="1" applyFill="1" applyBorder="1" applyAlignment="1">
      <alignment vertical="top"/>
    </xf>
    <xf numFmtId="0" fontId="4" fillId="0" borderId="23" xfId="0" applyFont="1" applyFill="1" applyBorder="1" applyAlignment="1">
      <alignment vertical="top"/>
    </xf>
    <xf numFmtId="0" fontId="3" fillId="5" borderId="11" xfId="0" applyFont="1" applyFill="1" applyBorder="1" applyAlignment="1" applyProtection="1">
      <alignment vertical="center"/>
    </xf>
    <xf numFmtId="44" fontId="1" fillId="5" borderId="11" xfId="1" applyFont="1" applyFill="1" applyBorder="1" applyAlignment="1" applyProtection="1">
      <alignment horizontal="right" vertical="center"/>
    </xf>
    <xf numFmtId="0" fontId="0" fillId="5" borderId="11" xfId="0" applyFill="1" applyBorder="1"/>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top"/>
    </xf>
    <xf numFmtId="0" fontId="4" fillId="0" borderId="3" xfId="0" applyFont="1" applyBorder="1" applyAlignment="1" applyProtection="1">
      <alignment vertical="top"/>
    </xf>
    <xf numFmtId="0" fontId="4" fillId="0" borderId="7" xfId="0" applyFont="1" applyFill="1" applyBorder="1" applyAlignment="1" applyProtection="1">
      <alignment horizontal="left" vertical="top"/>
    </xf>
    <xf numFmtId="164" fontId="4" fillId="3" borderId="21" xfId="1" applyNumberFormat="1" applyFont="1" applyFill="1" applyBorder="1" applyAlignment="1" applyProtection="1">
      <protection locked="0"/>
    </xf>
    <xf numFmtId="1" fontId="4" fillId="4" borderId="13" xfId="1" applyNumberFormat="1" applyFont="1" applyFill="1" applyBorder="1" applyAlignment="1" applyProtection="1">
      <protection locked="0"/>
    </xf>
    <xf numFmtId="1" fontId="4" fillId="3" borderId="13" xfId="1" applyNumberFormat="1" applyFont="1" applyFill="1" applyBorder="1" applyAlignment="1" applyProtection="1">
      <protection locked="0"/>
    </xf>
    <xf numFmtId="0" fontId="4" fillId="5" borderId="10" xfId="0" applyFont="1" applyFill="1" applyBorder="1" applyAlignment="1"/>
    <xf numFmtId="44" fontId="4" fillId="5" borderId="10" xfId="1" applyFont="1" applyFill="1" applyBorder="1" applyAlignment="1" applyProtection="1"/>
    <xf numFmtId="0" fontId="5" fillId="5" borderId="11" xfId="0" applyFont="1" applyFill="1" applyBorder="1" applyAlignment="1" applyProtection="1">
      <alignment horizontal="center" vertical="top"/>
      <protection locked="0"/>
    </xf>
    <xf numFmtId="0" fontId="4" fillId="0" borderId="7" xfId="0" applyFont="1" applyFill="1" applyBorder="1"/>
    <xf numFmtId="0" fontId="0" fillId="0" borderId="0" xfId="0" applyFill="1" applyAlignment="1">
      <alignment wrapText="1"/>
    </xf>
    <xf numFmtId="0" fontId="14" fillId="0"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49" fontId="4" fillId="0" borderId="7" xfId="0" applyNumberFormat="1" applyFont="1" applyBorder="1" applyAlignment="1" applyProtection="1">
      <alignment vertical="top" wrapText="1"/>
    </xf>
    <xf numFmtId="0" fontId="8" fillId="5" borderId="7" xfId="0" applyFont="1" applyFill="1" applyBorder="1" applyAlignment="1" applyProtection="1">
      <alignment horizontal="center" vertical="center"/>
    </xf>
    <xf numFmtId="0" fontId="3" fillId="0" borderId="1" xfId="0" applyFont="1" applyFill="1" applyBorder="1"/>
    <xf numFmtId="0" fontId="8" fillId="0" borderId="21" xfId="0" applyFont="1" applyFill="1" applyBorder="1" applyAlignment="1" applyProtection="1">
      <alignment horizontal="center" vertical="center"/>
    </xf>
    <xf numFmtId="0" fontId="4" fillId="0" borderId="21" xfId="0" applyFont="1" applyFill="1" applyBorder="1" applyAlignment="1">
      <alignment vertical="top"/>
    </xf>
    <xf numFmtId="0" fontId="4" fillId="0" borderId="0" xfId="0" applyFont="1" applyFill="1" applyBorder="1" applyAlignment="1" applyProtection="1">
      <alignment vertical="top"/>
    </xf>
    <xf numFmtId="0" fontId="4" fillId="0" borderId="8" xfId="0" applyFont="1" applyFill="1" applyBorder="1"/>
    <xf numFmtId="1" fontId="4" fillId="0" borderId="0" xfId="1" applyNumberFormat="1" applyFont="1" applyFill="1" applyBorder="1" applyAlignment="1" applyProtection="1">
      <alignment horizontal="right" vertical="center"/>
    </xf>
    <xf numFmtId="164" fontId="4" fillId="2" borderId="26" xfId="1" applyNumberFormat="1" applyFont="1" applyFill="1" applyBorder="1" applyAlignment="1" applyProtection="1">
      <alignment horizontal="right" vertical="center"/>
    </xf>
    <xf numFmtId="164" fontId="4" fillId="2" borderId="27" xfId="1" applyNumberFormat="1" applyFont="1" applyFill="1" applyBorder="1" applyAlignment="1" applyProtection="1">
      <alignment horizontal="right" vertical="center"/>
    </xf>
    <xf numFmtId="1" fontId="4" fillId="2" borderId="25" xfId="1" applyNumberFormat="1" applyFont="1" applyFill="1" applyBorder="1" applyAlignment="1" applyProtection="1">
      <alignment horizontal="right" vertical="center"/>
    </xf>
    <xf numFmtId="0" fontId="4" fillId="0" borderId="7" xfId="0" applyFont="1" applyFill="1" applyBorder="1" applyAlignment="1">
      <alignment vertical="top" wrapText="1"/>
    </xf>
    <xf numFmtId="0" fontId="4" fillId="0" borderId="0" xfId="0" applyFont="1" applyFill="1" applyBorder="1" applyAlignment="1">
      <alignment wrapText="1"/>
    </xf>
    <xf numFmtId="0" fontId="4" fillId="0" borderId="3" xfId="0" applyFont="1" applyFill="1" applyBorder="1"/>
    <xf numFmtId="0" fontId="4" fillId="0" borderId="3" xfId="0" applyFont="1" applyFill="1" applyBorder="1" applyAlignment="1">
      <alignment vertical="top"/>
    </xf>
    <xf numFmtId="164" fontId="4" fillId="3" borderId="14" xfId="1" applyNumberFormat="1" applyFont="1" applyFill="1" applyBorder="1" applyAlignment="1" applyProtection="1">
      <alignment horizontal="right" vertical="center"/>
      <protection locked="0"/>
    </xf>
    <xf numFmtId="0" fontId="8" fillId="5" borderId="6" xfId="0" applyFont="1" applyFill="1" applyBorder="1" applyAlignment="1">
      <alignment horizontal="center" vertical="center"/>
    </xf>
    <xf numFmtId="0" fontId="10" fillId="5"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164" fontId="1" fillId="2" borderId="21" xfId="1" applyNumberFormat="1" applyFont="1" applyFill="1" applyBorder="1" applyAlignment="1" applyProtection="1">
      <alignment horizontal="right" vertical="center"/>
    </xf>
    <xf numFmtId="0" fontId="16" fillId="8" borderId="0" xfId="0" applyFont="1" applyFill="1"/>
    <xf numFmtId="0" fontId="17" fillId="9" borderId="0" xfId="0" applyFont="1" applyFill="1"/>
    <xf numFmtId="49" fontId="4" fillId="0" borderId="7" xfId="0" applyNumberFormat="1" applyFont="1" applyFill="1" applyBorder="1" applyAlignment="1" applyProtection="1"/>
    <xf numFmtId="0" fontId="0" fillId="0" borderId="7" xfId="0" applyBorder="1"/>
    <xf numFmtId="0" fontId="0" fillId="0" borderId="3" xfId="0" applyBorder="1"/>
    <xf numFmtId="49" fontId="3" fillId="0" borderId="1" xfId="0" applyNumberFormat="1" applyFont="1" applyBorder="1" applyAlignment="1" applyProtection="1">
      <alignment vertical="top" wrapText="1"/>
    </xf>
    <xf numFmtId="164" fontId="4" fillId="0" borderId="21" xfId="1" applyNumberFormat="1" applyFont="1" applyBorder="1" applyAlignment="1" applyProtection="1">
      <alignment horizontal="right" vertical="center"/>
    </xf>
    <xf numFmtId="49" fontId="3" fillId="0" borderId="1" xfId="0" applyNumberFormat="1" applyFont="1" applyFill="1" applyBorder="1" applyAlignment="1" applyProtection="1">
      <alignment vertical="top" wrapText="1"/>
    </xf>
    <xf numFmtId="0" fontId="0" fillId="0" borderId="21" xfId="0" applyBorder="1"/>
    <xf numFmtId="0" fontId="4" fillId="0" borderId="7" xfId="0" applyFont="1" applyBorder="1" applyAlignment="1" applyProtection="1">
      <alignment vertical="top"/>
    </xf>
    <xf numFmtId="0" fontId="0" fillId="5" borderId="5" xfId="0" applyFill="1" applyBorder="1"/>
    <xf numFmtId="0" fontId="0" fillId="5" borderId="7" xfId="0" applyFill="1" applyBorder="1"/>
    <xf numFmtId="0" fontId="0" fillId="5" borderId="3" xfId="0" applyFill="1" applyBorder="1"/>
    <xf numFmtId="0" fontId="0" fillId="0" borderId="0" xfId="0" applyAlignment="1">
      <alignment vertical="center"/>
    </xf>
    <xf numFmtId="0" fontId="0" fillId="0" borderId="0" xfId="0" applyAlignment="1">
      <alignment vertical="center" wrapText="1"/>
    </xf>
    <xf numFmtId="0" fontId="27" fillId="0" borderId="0" xfId="0" applyFont="1"/>
    <xf numFmtId="44" fontId="4" fillId="0" borderId="13" xfId="0" applyNumberFormat="1" applyFont="1" applyFill="1" applyBorder="1" applyAlignment="1">
      <alignment vertical="top"/>
    </xf>
    <xf numFmtId="0" fontId="27" fillId="0" borderId="0" xfId="0" applyFont="1" applyAlignment="1">
      <alignment vertical="center" wrapText="1"/>
    </xf>
    <xf numFmtId="0" fontId="33" fillId="0" borderId="38" xfId="10" applyAlignment="1">
      <alignment vertical="center" wrapText="1"/>
    </xf>
    <xf numFmtId="0" fontId="33" fillId="0" borderId="38" xfId="10" applyAlignment="1">
      <alignment vertical="center"/>
    </xf>
    <xf numFmtId="0" fontId="33" fillId="0" borderId="38" xfId="10"/>
    <xf numFmtId="0" fontId="20" fillId="0" borderId="29" xfId="3" applyAlignment="1">
      <alignment vertical="center" wrapText="1"/>
    </xf>
    <xf numFmtId="0" fontId="20" fillId="0" borderId="29" xfId="3" applyAlignment="1">
      <alignment vertical="center"/>
    </xf>
    <xf numFmtId="0" fontId="44" fillId="19" borderId="48" xfId="11" applyNumberFormat="1" applyFont="1" applyBorder="1" applyAlignment="1" applyProtection="1">
      <alignment horizontal="center"/>
    </xf>
    <xf numFmtId="0" fontId="46" fillId="22" borderId="46" xfId="0" applyFont="1" applyFill="1" applyBorder="1" applyAlignment="1" applyProtection="1">
      <alignment horizontal="center"/>
      <protection locked="0"/>
    </xf>
    <xf numFmtId="44" fontId="44" fillId="19" borderId="48" xfId="11" applyNumberFormat="1" applyFont="1" applyBorder="1" applyProtection="1">
      <protection locked="0"/>
    </xf>
    <xf numFmtId="1" fontId="44" fillId="19" borderId="48" xfId="11" applyNumberFormat="1" applyFont="1" applyBorder="1" applyProtection="1">
      <protection locked="0"/>
    </xf>
    <xf numFmtId="164" fontId="44" fillId="19" borderId="48" xfId="11" applyNumberFormat="1" applyFont="1" applyBorder="1" applyProtection="1"/>
    <xf numFmtId="0" fontId="44" fillId="19" borderId="48" xfId="11" applyNumberFormat="1" applyFont="1" applyBorder="1" applyAlignment="1" applyProtection="1">
      <alignment horizontal="center" vertical="center" wrapText="1"/>
      <protection locked="0"/>
    </xf>
    <xf numFmtId="0" fontId="46" fillId="22" borderId="59" xfId="0" applyFont="1" applyFill="1" applyBorder="1" applyAlignment="1" applyProtection="1">
      <alignment horizontal="center"/>
      <protection locked="0"/>
    </xf>
    <xf numFmtId="0" fontId="0" fillId="19" borderId="44" xfId="11" applyFont="1" applyBorder="1" applyAlignment="1" applyProtection="1">
      <alignment horizontal="center" vertical="center" wrapText="1"/>
      <protection locked="0"/>
    </xf>
    <xf numFmtId="0" fontId="36" fillId="13" borderId="72" xfId="8" applyFont="1" applyBorder="1" applyProtection="1"/>
    <xf numFmtId="0" fontId="35" fillId="13" borderId="72" xfId="8" applyNumberFormat="1" applyFont="1" applyBorder="1" applyAlignment="1" applyProtection="1">
      <alignment horizontal="center"/>
    </xf>
    <xf numFmtId="0" fontId="36" fillId="13" borderId="73" xfId="8" applyNumberFormat="1" applyFont="1" applyBorder="1" applyProtection="1"/>
    <xf numFmtId="0" fontId="24" fillId="0" borderId="0" xfId="0" applyFont="1" applyProtection="1"/>
    <xf numFmtId="0" fontId="0" fillId="0" borderId="0" xfId="0" applyProtection="1"/>
    <xf numFmtId="0" fontId="22" fillId="17" borderId="0" xfId="0" applyFont="1" applyFill="1" applyBorder="1" applyAlignment="1" applyProtection="1">
      <alignment horizontal="center"/>
    </xf>
    <xf numFmtId="0" fontId="22" fillId="17" borderId="50" xfId="0" applyNumberFormat="1" applyFont="1" applyFill="1" applyBorder="1" applyProtection="1"/>
    <xf numFmtId="0" fontId="41" fillId="6" borderId="44" xfId="6" applyFont="1" applyFill="1" applyBorder="1" applyAlignment="1" applyProtection="1">
      <alignment horizontal="left" wrapText="1" indent="1"/>
    </xf>
    <xf numFmtId="0" fontId="0" fillId="16" borderId="50" xfId="0" applyFont="1" applyFill="1" applyBorder="1" applyProtection="1"/>
    <xf numFmtId="0" fontId="23" fillId="16" borderId="0" xfId="6" applyFont="1" applyFill="1" applyBorder="1" applyAlignment="1" applyProtection="1">
      <alignment horizontal="center" wrapText="1"/>
    </xf>
    <xf numFmtId="0" fontId="30" fillId="6" borderId="44" xfId="0" applyFont="1" applyFill="1" applyBorder="1" applyAlignment="1" applyProtection="1">
      <alignment horizontal="center"/>
    </xf>
    <xf numFmtId="0" fontId="30" fillId="16" borderId="0" xfId="0" applyFont="1" applyFill="1" applyBorder="1" applyAlignment="1" applyProtection="1">
      <alignment horizontal="center"/>
    </xf>
    <xf numFmtId="0" fontId="33" fillId="18" borderId="38" xfId="10" applyFill="1" applyBorder="1" applyAlignment="1" applyProtection="1">
      <alignment horizontal="center"/>
    </xf>
    <xf numFmtId="0" fontId="33" fillId="18" borderId="58" xfId="10" applyFill="1" applyBorder="1" applyAlignment="1" applyProtection="1">
      <alignment horizontal="center"/>
    </xf>
    <xf numFmtId="0" fontId="40" fillId="16" borderId="0" xfId="0" applyFont="1" applyFill="1" applyBorder="1" applyAlignment="1" applyProtection="1">
      <alignment horizontal="left" vertical="center" wrapText="1"/>
    </xf>
    <xf numFmtId="0" fontId="41" fillId="6" borderId="34" xfId="6" applyFont="1" applyFill="1" applyBorder="1" applyAlignment="1" applyProtection="1">
      <alignment horizontal="left" vertical="center" wrapText="1" indent="1"/>
    </xf>
    <xf numFmtId="0" fontId="40" fillId="16" borderId="50" xfId="0" applyFont="1" applyFill="1" applyBorder="1" applyProtection="1"/>
    <xf numFmtId="0" fontId="23" fillId="16" borderId="0" xfId="6" applyNumberFormat="1" applyFill="1" applyBorder="1" applyAlignment="1" applyProtection="1">
      <alignment horizontal="center" vertical="center" wrapText="1"/>
    </xf>
    <xf numFmtId="0" fontId="0" fillId="16" borderId="50" xfId="0" applyFill="1" applyBorder="1" applyProtection="1"/>
    <xf numFmtId="0" fontId="0" fillId="16" borderId="0" xfId="0" applyFill="1" applyBorder="1" applyProtection="1"/>
    <xf numFmtId="164" fontId="19" fillId="12" borderId="57" xfId="9" applyNumberFormat="1" applyFont="1" applyBorder="1" applyAlignment="1" applyProtection="1">
      <alignment vertical="center"/>
    </xf>
    <xf numFmtId="0" fontId="19" fillId="12" borderId="57" xfId="9" applyFont="1" applyBorder="1" applyAlignment="1" applyProtection="1">
      <alignment vertical="center"/>
    </xf>
    <xf numFmtId="0" fontId="0" fillId="16" borderId="0" xfId="0" applyNumberFormat="1" applyFill="1" applyBorder="1" applyProtection="1"/>
    <xf numFmtId="0" fontId="45" fillId="21" borderId="42" xfId="0" applyFont="1" applyFill="1" applyBorder="1" applyAlignment="1" applyProtection="1">
      <alignment horizontal="left"/>
    </xf>
    <xf numFmtId="0" fontId="51" fillId="0" borderId="0" xfId="0" applyFont="1" applyProtection="1"/>
    <xf numFmtId="0" fontId="25" fillId="11" borderId="31" xfId="5" applyNumberFormat="1" applyFont="1" applyBorder="1" applyAlignment="1" applyProtection="1">
      <alignment horizontal="center"/>
    </xf>
    <xf numFmtId="0" fontId="22" fillId="11" borderId="54" xfId="5" applyBorder="1" applyProtection="1"/>
    <xf numFmtId="0" fontId="33" fillId="16" borderId="38" xfId="10" applyFill="1" applyBorder="1" applyAlignment="1" applyProtection="1">
      <alignment horizontal="center"/>
    </xf>
    <xf numFmtId="0" fontId="33" fillId="16" borderId="58" xfId="10" applyFill="1" applyBorder="1" applyProtection="1"/>
    <xf numFmtId="164" fontId="19" fillId="12" borderId="60" xfId="9" applyNumberFormat="1" applyFont="1" applyBorder="1" applyAlignment="1" applyProtection="1">
      <alignment vertical="center"/>
    </xf>
    <xf numFmtId="0" fontId="0" fillId="16" borderId="66" xfId="0" applyFill="1" applyBorder="1" applyProtection="1"/>
    <xf numFmtId="164" fontId="34" fillId="12" borderId="60" xfId="9" applyNumberFormat="1" applyFont="1" applyBorder="1" applyAlignment="1" applyProtection="1">
      <alignment vertical="center"/>
    </xf>
    <xf numFmtId="0" fontId="48" fillId="17" borderId="0" xfId="0" applyFont="1" applyFill="1" applyBorder="1" applyAlignment="1" applyProtection="1">
      <alignment horizontal="center"/>
    </xf>
    <xf numFmtId="0" fontId="38" fillId="17" borderId="50" xfId="0" applyNumberFormat="1" applyFont="1" applyFill="1" applyBorder="1" applyProtection="1"/>
    <xf numFmtId="0" fontId="40" fillId="16" borderId="0" xfId="0" applyFont="1" applyFill="1" applyBorder="1" applyProtection="1"/>
    <xf numFmtId="0" fontId="24" fillId="16" borderId="50" xfId="0" applyFont="1" applyFill="1" applyBorder="1" applyAlignment="1" applyProtection="1">
      <alignment vertical="center"/>
    </xf>
    <xf numFmtId="0" fontId="42" fillId="16" borderId="0" xfId="6" applyFont="1" applyFill="1" applyBorder="1" applyAlignment="1" applyProtection="1">
      <alignment horizontal="center" wrapText="1"/>
    </xf>
    <xf numFmtId="0" fontId="41" fillId="6" borderId="44" xfId="6" applyFont="1" applyFill="1" applyBorder="1" applyAlignment="1" applyProtection="1">
      <alignment horizontal="left" vertical="center" wrapText="1" indent="1"/>
    </xf>
    <xf numFmtId="0" fontId="40" fillId="16" borderId="0" xfId="0" applyNumberFormat="1" applyFont="1" applyFill="1" applyBorder="1" applyAlignment="1" applyProtection="1">
      <alignment horizontal="center" vertical="center"/>
    </xf>
    <xf numFmtId="0" fontId="38" fillId="17" borderId="33" xfId="0" applyFont="1" applyFill="1" applyBorder="1" applyAlignment="1" applyProtection="1">
      <alignment horizontal="center"/>
    </xf>
    <xf numFmtId="0" fontId="38" fillId="17" borderId="55" xfId="0" applyNumberFormat="1" applyFont="1" applyFill="1" applyBorder="1" applyProtection="1"/>
    <xf numFmtId="0" fontId="35" fillId="13" borderId="38" xfId="8" applyNumberFormat="1" applyFont="1" applyBorder="1" applyAlignment="1" applyProtection="1">
      <alignment horizontal="center"/>
    </xf>
    <xf numFmtId="0" fontId="28" fillId="13" borderId="58" xfId="8" applyBorder="1" applyProtection="1"/>
    <xf numFmtId="0" fontId="50" fillId="12" borderId="61" xfId="7" applyNumberFormat="1" applyFont="1" applyBorder="1" applyAlignment="1" applyProtection="1">
      <alignment horizontal="center" vertical="center" wrapText="1"/>
    </xf>
    <xf numFmtId="0" fontId="50" fillId="12" borderId="61" xfId="7" applyNumberFormat="1" applyFont="1" applyBorder="1" applyAlignment="1" applyProtection="1">
      <alignment horizontal="center"/>
    </xf>
    <xf numFmtId="0" fontId="40" fillId="16" borderId="0" xfId="0" applyNumberFormat="1" applyFont="1" applyFill="1" applyBorder="1" applyProtection="1"/>
    <xf numFmtId="164" fontId="50" fillId="12" borderId="61" xfId="7" applyNumberFormat="1" applyFont="1" applyBorder="1" applyProtection="1"/>
    <xf numFmtId="0" fontId="39" fillId="16" borderId="0" xfId="3" applyNumberFormat="1" applyFont="1" applyFill="1" applyBorder="1" applyProtection="1"/>
    <xf numFmtId="0" fontId="39" fillId="16" borderId="62" xfId="3" applyFont="1" applyFill="1" applyBorder="1" applyProtection="1"/>
    <xf numFmtId="164" fontId="50" fillId="12" borderId="63" xfId="7" applyNumberFormat="1" applyFont="1" applyBorder="1" applyProtection="1"/>
    <xf numFmtId="44" fontId="50" fillId="12" borderId="61" xfId="7" applyNumberFormat="1" applyFont="1" applyBorder="1" applyAlignment="1" applyProtection="1">
      <alignment horizontal="center"/>
    </xf>
    <xf numFmtId="0" fontId="40" fillId="16" borderId="64" xfId="0" applyNumberFormat="1" applyFont="1" applyFill="1" applyBorder="1" applyProtection="1"/>
    <xf numFmtId="0" fontId="40" fillId="16" borderId="65" xfId="0" applyFont="1" applyFill="1" applyBorder="1" applyProtection="1"/>
    <xf numFmtId="0" fontId="35" fillId="15" borderId="67" xfId="0" applyNumberFormat="1" applyFont="1" applyFill="1" applyBorder="1" applyProtection="1"/>
    <xf numFmtId="0" fontId="35" fillId="15" borderId="67" xfId="0" applyNumberFormat="1" applyFont="1" applyFill="1" applyBorder="1" applyAlignment="1" applyProtection="1">
      <alignment horizontal="center"/>
    </xf>
    <xf numFmtId="0" fontId="35" fillId="15" borderId="68" xfId="0" applyNumberFormat="1" applyFont="1" applyFill="1" applyBorder="1" applyProtection="1"/>
    <xf numFmtId="0" fontId="33" fillId="16" borderId="38" xfId="10" applyFill="1" applyBorder="1" applyAlignment="1" applyProtection="1">
      <alignment wrapText="1"/>
    </xf>
    <xf numFmtId="0" fontId="33" fillId="16" borderId="56" xfId="10" applyNumberFormat="1" applyFill="1" applyBorder="1" applyProtection="1"/>
    <xf numFmtId="0" fontId="40" fillId="16" borderId="43" xfId="0" applyFont="1" applyFill="1" applyBorder="1" applyProtection="1"/>
    <xf numFmtId="0" fontId="40" fillId="16" borderId="43" xfId="0" applyNumberFormat="1" applyFont="1" applyFill="1" applyBorder="1" applyProtection="1"/>
    <xf numFmtId="0" fontId="42" fillId="16" borderId="0" xfId="6" applyFont="1" applyFill="1" applyBorder="1" applyAlignment="1" applyProtection="1">
      <alignment horizontal="center" vertical="center" wrapText="1"/>
    </xf>
    <xf numFmtId="0" fontId="43" fillId="20" borderId="40" xfId="0" applyFont="1" applyFill="1" applyBorder="1" applyAlignment="1" applyProtection="1">
      <alignment horizontal="center" vertical="center"/>
    </xf>
    <xf numFmtId="0" fontId="24" fillId="0" borderId="0" xfId="0" applyFont="1" applyAlignment="1" applyProtection="1">
      <alignment vertical="center"/>
    </xf>
    <xf numFmtId="0" fontId="43" fillId="20" borderId="40" xfId="0" applyFont="1" applyFill="1" applyBorder="1" applyAlignment="1" applyProtection="1">
      <alignment horizontal="center"/>
    </xf>
    <xf numFmtId="0" fontId="40" fillId="16" borderId="43" xfId="0" applyFont="1" applyFill="1" applyBorder="1" applyAlignment="1" applyProtection="1">
      <alignment horizontal="left" vertical="center" wrapText="1"/>
    </xf>
    <xf numFmtId="0" fontId="25" fillId="11" borderId="41" xfId="5" applyFont="1" applyBorder="1" applyAlignment="1" applyProtection="1">
      <alignment horizontal="center"/>
    </xf>
    <xf numFmtId="0" fontId="25" fillId="11" borderId="51" xfId="5" applyFont="1" applyBorder="1" applyProtection="1"/>
    <xf numFmtId="0" fontId="33" fillId="16" borderId="56" xfId="10" applyFill="1" applyBorder="1" applyProtection="1"/>
    <xf numFmtId="0" fontId="40" fillId="16" borderId="0" xfId="0" applyFont="1" applyFill="1" applyBorder="1" applyAlignment="1" applyProtection="1">
      <alignment wrapText="1"/>
    </xf>
    <xf numFmtId="0" fontId="25" fillId="11" borderId="31" xfId="5" applyFont="1" applyBorder="1" applyAlignment="1" applyProtection="1">
      <alignment horizontal="center"/>
    </xf>
    <xf numFmtId="0" fontId="25" fillId="11" borderId="47" xfId="5" applyFont="1" applyBorder="1" applyProtection="1"/>
    <xf numFmtId="0" fontId="41" fillId="6" borderId="34" xfId="0" applyFont="1" applyFill="1" applyBorder="1" applyAlignment="1" applyProtection="1">
      <alignment horizontal="left" vertical="center" wrapText="1" indent="1"/>
    </xf>
    <xf numFmtId="0" fontId="40" fillId="16" borderId="43" xfId="0" applyFont="1" applyFill="1" applyBorder="1" applyAlignment="1" applyProtection="1">
      <alignment wrapText="1"/>
    </xf>
    <xf numFmtId="0" fontId="22" fillId="11" borderId="47" xfId="5" applyNumberFormat="1" applyBorder="1" applyProtection="1"/>
    <xf numFmtId="1" fontId="40" fillId="16" borderId="43" xfId="0" applyNumberFormat="1" applyFont="1" applyFill="1" applyBorder="1" applyProtection="1"/>
    <xf numFmtId="0" fontId="44" fillId="16" borderId="49" xfId="4" applyNumberFormat="1" applyFont="1" applyFill="1" applyBorder="1" applyProtection="1"/>
    <xf numFmtId="0" fontId="39" fillId="16" borderId="43" xfId="2" applyNumberFormat="1" applyFont="1" applyFill="1" applyBorder="1" applyProtection="1"/>
    <xf numFmtId="0" fontId="25" fillId="11" borderId="31" xfId="5" applyFont="1" applyFill="1" applyBorder="1" applyAlignment="1" applyProtection="1">
      <alignment horizontal="center"/>
    </xf>
    <xf numFmtId="0" fontId="22" fillId="11" borderId="47" xfId="5" applyNumberFormat="1" applyFont="1" applyFill="1" applyBorder="1" applyProtection="1"/>
    <xf numFmtId="0" fontId="44" fillId="16" borderId="48" xfId="11" applyNumberFormat="1" applyFont="1" applyFill="1" applyBorder="1" applyProtection="1"/>
    <xf numFmtId="0" fontId="31" fillId="14" borderId="52" xfId="0" applyFont="1" applyFill="1" applyBorder="1" applyAlignment="1" applyProtection="1">
      <alignment horizontal="center"/>
    </xf>
    <xf numFmtId="0" fontId="0" fillId="14" borderId="53" xfId="0" applyNumberFormat="1" applyFill="1" applyBorder="1" applyProtection="1"/>
    <xf numFmtId="0" fontId="0" fillId="0" borderId="0" xfId="0" applyNumberFormat="1" applyProtection="1"/>
    <xf numFmtId="0" fontId="50" fillId="12" borderId="61" xfId="7" applyFont="1" applyBorder="1" applyAlignment="1" applyProtection="1">
      <alignment horizontal="right" indent="1"/>
    </xf>
    <xf numFmtId="0" fontId="50" fillId="12" borderId="61" xfId="7" applyNumberFormat="1" applyFont="1" applyBorder="1" applyAlignment="1" applyProtection="1">
      <alignment horizontal="right" indent="1"/>
    </xf>
    <xf numFmtId="0" fontId="50" fillId="12" borderId="63" xfId="7" applyFont="1" applyBorder="1" applyAlignment="1" applyProtection="1">
      <alignment horizontal="right" indent="1"/>
    </xf>
    <xf numFmtId="0" fontId="49" fillId="6" borderId="34" xfId="0" applyNumberFormat="1" applyFont="1" applyFill="1" applyBorder="1" applyAlignment="1" applyProtection="1">
      <alignment horizontal="left" vertical="center" indent="1"/>
    </xf>
    <xf numFmtId="0" fontId="49" fillId="6" borderId="34" xfId="0" applyNumberFormat="1" applyFont="1" applyFill="1" applyBorder="1" applyAlignment="1" applyProtection="1">
      <alignment horizontal="left" indent="1"/>
    </xf>
    <xf numFmtId="0" fontId="40" fillId="6" borderId="35" xfId="0" applyNumberFormat="1" applyFont="1" applyFill="1" applyBorder="1" applyAlignment="1" applyProtection="1">
      <alignment horizontal="left" indent="1"/>
    </xf>
    <xf numFmtId="0" fontId="40" fillId="6" borderId="36" xfId="0" applyNumberFormat="1" applyFont="1" applyFill="1" applyBorder="1" applyAlignment="1" applyProtection="1">
      <alignment horizontal="left" indent="1"/>
    </xf>
    <xf numFmtId="0" fontId="40" fillId="6" borderId="34" xfId="0" applyNumberFormat="1" applyFont="1" applyFill="1" applyBorder="1" applyAlignment="1" applyProtection="1">
      <alignment horizontal="left" indent="1"/>
    </xf>
    <xf numFmtId="0" fontId="40" fillId="6" borderId="37" xfId="0" applyNumberFormat="1" applyFont="1" applyFill="1" applyBorder="1" applyAlignment="1" applyProtection="1">
      <alignment horizontal="left" indent="1"/>
    </xf>
    <xf numFmtId="0" fontId="22" fillId="17" borderId="0" xfId="0" applyFont="1" applyFill="1" applyBorder="1" applyAlignment="1" applyProtection="1">
      <alignment horizontal="left" indent="1"/>
    </xf>
    <xf numFmtId="0" fontId="0" fillId="16" borderId="0" xfId="0" applyFont="1" applyFill="1" applyBorder="1" applyAlignment="1" applyProtection="1">
      <alignment horizontal="left" indent="1"/>
    </xf>
    <xf numFmtId="0" fontId="33" fillId="18" borderId="38" xfId="10" applyFill="1" applyBorder="1" applyAlignment="1" applyProtection="1">
      <alignment horizontal="left" indent="1"/>
    </xf>
    <xf numFmtId="0" fontId="40" fillId="16" borderId="0" xfId="0" applyFont="1" applyFill="1" applyBorder="1" applyAlignment="1" applyProtection="1">
      <alignment horizontal="left" vertical="center" wrapText="1" indent="1"/>
    </xf>
    <xf numFmtId="0" fontId="0" fillId="16" borderId="0" xfId="0" applyFill="1" applyBorder="1" applyAlignment="1" applyProtection="1">
      <alignment horizontal="left" vertical="center" wrapText="1" indent="1"/>
    </xf>
    <xf numFmtId="0" fontId="0" fillId="16" borderId="0" xfId="0" applyFill="1" applyBorder="1" applyAlignment="1" applyProtection="1">
      <alignment horizontal="left" indent="1"/>
    </xf>
    <xf numFmtId="0" fontId="22" fillId="11" borderId="70" xfId="5" applyBorder="1" applyAlignment="1" applyProtection="1">
      <alignment horizontal="left" indent="1"/>
    </xf>
    <xf numFmtId="0" fontId="33" fillId="16" borderId="38" xfId="10" applyFill="1" applyBorder="1" applyAlignment="1" applyProtection="1">
      <alignment horizontal="left" indent="1"/>
    </xf>
    <xf numFmtId="0" fontId="38" fillId="17" borderId="0" xfId="0" applyFont="1" applyFill="1" applyBorder="1" applyAlignment="1" applyProtection="1">
      <alignment horizontal="left" indent="1"/>
    </xf>
    <xf numFmtId="0" fontId="40" fillId="16" borderId="0" xfId="0" applyFont="1" applyFill="1" applyBorder="1" applyAlignment="1" applyProtection="1">
      <alignment horizontal="left" indent="1"/>
    </xf>
    <xf numFmtId="0" fontId="38" fillId="17" borderId="33" xfId="0" applyFont="1" applyFill="1" applyBorder="1" applyAlignment="1" applyProtection="1">
      <alignment horizontal="left" indent="1"/>
    </xf>
    <xf numFmtId="0" fontId="28" fillId="13" borderId="38" xfId="8" applyBorder="1" applyAlignment="1" applyProtection="1">
      <alignment horizontal="left" indent="1"/>
    </xf>
    <xf numFmtId="0" fontId="39" fillId="16" borderId="29" xfId="3" applyNumberFormat="1" applyFont="1" applyFill="1" applyBorder="1" applyAlignment="1" applyProtection="1">
      <alignment horizontal="left" indent="1"/>
    </xf>
    <xf numFmtId="0" fontId="40" fillId="16" borderId="64" xfId="0" applyFont="1" applyFill="1" applyBorder="1" applyAlignment="1" applyProtection="1">
      <alignment horizontal="left" indent="1"/>
    </xf>
    <xf numFmtId="0" fontId="40" fillId="16" borderId="69" xfId="0" applyFont="1" applyFill="1" applyBorder="1" applyAlignment="1" applyProtection="1">
      <alignment horizontal="left" vertical="center" wrapText="1" indent="1"/>
    </xf>
    <xf numFmtId="0" fontId="25" fillId="11" borderId="70" xfId="5" applyFont="1" applyBorder="1" applyAlignment="1" applyProtection="1">
      <alignment horizontal="left" wrapText="1" indent="1"/>
    </xf>
    <xf numFmtId="0" fontId="33" fillId="16" borderId="38" xfId="10" applyFill="1" applyBorder="1" applyAlignment="1" applyProtection="1">
      <alignment horizontal="left" wrapText="1" indent="1"/>
    </xf>
    <xf numFmtId="0" fontId="40" fillId="16" borderId="0" xfId="0" applyFont="1" applyFill="1" applyBorder="1" applyAlignment="1" applyProtection="1">
      <alignment horizontal="left" wrapText="1" indent="1"/>
    </xf>
    <xf numFmtId="0" fontId="22" fillId="11" borderId="70" xfId="5" applyBorder="1" applyAlignment="1" applyProtection="1">
      <alignment horizontal="left" wrapText="1" indent="1"/>
    </xf>
    <xf numFmtId="0" fontId="40" fillId="16" borderId="71" xfId="0" applyFont="1" applyFill="1" applyBorder="1" applyAlignment="1" applyProtection="1">
      <alignment horizontal="left" wrapText="1" indent="1"/>
    </xf>
    <xf numFmtId="0" fontId="22" fillId="11" borderId="70" xfId="5" applyFont="1" applyFill="1" applyBorder="1" applyAlignment="1" applyProtection="1">
      <alignment horizontal="left" wrapText="1" indent="1"/>
    </xf>
    <xf numFmtId="0" fontId="47" fillId="16" borderId="0" xfId="0" applyFont="1" applyFill="1" applyBorder="1" applyAlignment="1" applyProtection="1">
      <alignment horizontal="left" wrapText="1" indent="1"/>
    </xf>
    <xf numFmtId="0" fontId="39" fillId="16" borderId="29" xfId="3" applyFont="1" applyFill="1" applyBorder="1" applyAlignment="1" applyProtection="1">
      <alignment horizontal="left" wrapText="1" indent="1"/>
    </xf>
    <xf numFmtId="0" fontId="0" fillId="14" borderId="52" xfId="0" applyFill="1" applyBorder="1" applyAlignment="1" applyProtection="1">
      <alignment horizontal="left" wrapText="1" indent="1"/>
    </xf>
    <xf numFmtId="0" fontId="45" fillId="21" borderId="42" xfId="0" applyFont="1" applyFill="1" applyBorder="1" applyAlignment="1" applyProtection="1">
      <alignment horizontal="left" indent="1"/>
    </xf>
    <xf numFmtId="0" fontId="45" fillId="21" borderId="45" xfId="0" applyFont="1" applyFill="1" applyBorder="1" applyAlignment="1" applyProtection="1">
      <alignment horizontal="left" indent="1"/>
    </xf>
    <xf numFmtId="0" fontId="39" fillId="16" borderId="29" xfId="3" applyFont="1" applyFill="1" applyBorder="1" applyAlignment="1" applyProtection="1">
      <alignment horizontal="left" indent="1"/>
    </xf>
    <xf numFmtId="0" fontId="39" fillId="16" borderId="29" xfId="0" applyFont="1" applyFill="1" applyBorder="1" applyAlignment="1" applyProtection="1">
      <alignment horizontal="left" indent="1"/>
    </xf>
    <xf numFmtId="0" fontId="44" fillId="19" borderId="48" xfId="11" applyNumberFormat="1" applyFont="1" applyBorder="1" applyAlignment="1" applyProtection="1">
      <alignment horizontal="right" indent="1"/>
      <protection locked="0"/>
    </xf>
    <xf numFmtId="0" fontId="32" fillId="6" borderId="34" xfId="0" applyNumberFormat="1" applyFont="1" applyFill="1" applyBorder="1" applyAlignment="1" applyProtection="1">
      <alignment horizontal="left" vertical="center" wrapText="1" indent="1"/>
    </xf>
    <xf numFmtId="0" fontId="37" fillId="6" borderId="34" xfId="0" applyFont="1" applyFill="1" applyBorder="1" applyAlignment="1" applyProtection="1">
      <alignment horizontal="left" vertical="center" wrapText="1" indent="1"/>
    </xf>
    <xf numFmtId="0" fontId="32" fillId="6" borderId="44" xfId="0" applyFont="1" applyFill="1" applyBorder="1" applyAlignment="1" applyProtection="1">
      <alignment horizontal="left" vertical="center" wrapText="1" indent="1"/>
    </xf>
    <xf numFmtId="0" fontId="0" fillId="0" borderId="26" xfId="0" applyBorder="1"/>
    <xf numFmtId="0" fontId="0" fillId="0" borderId="27" xfId="0" applyBorder="1"/>
    <xf numFmtId="0" fontId="0" fillId="0" borderId="25" xfId="0" applyBorder="1"/>
    <xf numFmtId="0" fontId="0" fillId="0" borderId="5" xfId="0" applyBorder="1"/>
    <xf numFmtId="0" fontId="0" fillId="0" borderId="10" xfId="0" applyBorder="1"/>
    <xf numFmtId="0" fontId="0" fillId="0" borderId="0" xfId="0" applyBorder="1"/>
    <xf numFmtId="0" fontId="0" fillId="0" borderId="11" xfId="0" applyBorder="1"/>
    <xf numFmtId="0" fontId="0" fillId="0" borderId="6" xfId="0" applyFill="1" applyBorder="1"/>
    <xf numFmtId="1" fontId="0" fillId="0" borderId="8" xfId="0" applyNumberFormat="1" applyFill="1" applyBorder="1"/>
    <xf numFmtId="0" fontId="0" fillId="0" borderId="0" xfId="0" applyFill="1" applyBorder="1"/>
    <xf numFmtId="0" fontId="0" fillId="0" borderId="6" xfId="0" applyBorder="1"/>
    <xf numFmtId="0" fontId="0" fillId="0" borderId="8" xfId="0" applyBorder="1"/>
    <xf numFmtId="0" fontId="0" fillId="0" borderId="9" xfId="0" applyBorder="1"/>
    <xf numFmtId="164" fontId="19" fillId="12" borderId="57" xfId="9" applyNumberFormat="1" applyFont="1" applyBorder="1" applyAlignment="1" applyProtection="1">
      <alignment vertical="center"/>
      <protection locked="0"/>
    </xf>
    <xf numFmtId="0" fontId="8" fillId="5" borderId="10" xfId="0" applyFont="1" applyFill="1" applyBorder="1" applyAlignment="1">
      <alignment horizontal="center" vertical="center"/>
    </xf>
    <xf numFmtId="0" fontId="10" fillId="7" borderId="1" xfId="0" applyFont="1" applyFill="1" applyBorder="1" applyAlignment="1">
      <alignment horizontal="center" vertical="top" wrapText="1"/>
    </xf>
    <xf numFmtId="0" fontId="10" fillId="7" borderId="2" xfId="0" applyFont="1" applyFill="1" applyBorder="1" applyAlignment="1">
      <alignment horizontal="center" vertical="top"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3" fillId="5" borderId="10" xfId="0" applyFont="1" applyFill="1" applyBorder="1" applyAlignment="1">
      <alignment horizontal="center" vertical="center"/>
    </xf>
    <xf numFmtId="0" fontId="5" fillId="5" borderId="10" xfId="0" applyFont="1" applyFill="1" applyBorder="1" applyAlignment="1">
      <alignment horizontal="center" vertical="top"/>
    </xf>
    <xf numFmtId="0" fontId="5" fillId="0" borderId="5"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9"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center"/>
    </xf>
    <xf numFmtId="0" fontId="3" fillId="5" borderId="4" xfId="0" applyFont="1" applyFill="1" applyBorder="1" applyAlignment="1">
      <alignment horizontal="center" vertical="center"/>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24" xfId="0" applyFont="1" applyFill="1" applyBorder="1" applyAlignment="1">
      <alignment horizontal="center" vertical="top" wrapText="1"/>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pplyProtection="1">
      <alignment horizontal="center" vertical="center"/>
    </xf>
    <xf numFmtId="0" fontId="8" fillId="5" borderId="10" xfId="0" applyFont="1" applyFill="1" applyBorder="1" applyAlignment="1" applyProtection="1">
      <alignment horizontal="center" vertical="center"/>
    </xf>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794">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i val="0"/>
        <strike val="0"/>
        <condense val="0"/>
        <extend val="0"/>
        <outline val="0"/>
        <shadow val="0"/>
        <u val="none"/>
        <vertAlign val="baseline"/>
        <sz val="12"/>
        <color rgb="FFFFFFFF"/>
        <name val="Calibri"/>
        <scheme val="none"/>
      </font>
      <fill>
        <patternFill patternType="solid">
          <fgColor rgb="FFFFFFFF"/>
          <bgColor rgb="FF428BCA"/>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fgColor theme="0" tint="-0.24994659260841701"/>
          <bgColor theme="0" tint="-0.24994659260841701"/>
        </patternFill>
      </fill>
      <border>
        <left/>
        <top/>
        <vertical/>
        <horizontal/>
      </border>
    </dxf>
    <dxf>
      <font>
        <color theme="0"/>
      </font>
      <fill>
        <patternFill>
          <bgColor theme="0" tint="-0.24994659260841701"/>
        </patternFill>
      </fill>
    </dxf>
    <dxf>
      <font>
        <color theme="0" tint="-0.24994659260841701"/>
      </font>
      <fill>
        <patternFill patternType="solid">
          <fgColor theme="0"/>
          <bgColor theme="0" tint="-0.24994659260841701"/>
        </patternFill>
      </fill>
      <border>
        <left/>
        <top/>
        <bottom/>
      </border>
    </dxf>
    <dxf>
      <border>
        <left style="thin">
          <color rgb="FF002060"/>
        </left>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0" tint="-0.24994659260841701"/>
      </font>
      <fill>
        <patternFill patternType="solid">
          <fgColor theme="0"/>
          <bgColor theme="0" tint="-0.24994659260841701"/>
        </patternFill>
      </fill>
      <border>
        <left/>
        <top/>
        <bottom/>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b/>
        <i val="0"/>
        <color theme="0"/>
      </font>
      <fill>
        <patternFill patternType="solid">
          <fgColor theme="0"/>
          <bgColor theme="0" tint="-0.24994659260841701"/>
        </patternFill>
      </fill>
      <border>
        <left/>
        <righ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3" tint="0.79998168889431442"/>
      </font>
      <fill>
        <patternFill patternType="solid">
          <fgColor theme="0"/>
          <bgColor theme="3" tint="0.79998168889431442"/>
        </patternFill>
      </fill>
      <border>
        <left/>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miam\Work%20Folders\Desktop\LSER%20Template%20-%20formulas%20comparison%20do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OLSC%20-%20Legal%20Services%20Expenditure%20Report%20-%20LSER%20-%20Entity%20Template%20V.2%20%20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efreshError="1"/>
      <sheetData sheetId="1" refreshError="1"/>
      <sheetData sheetId="2">
        <row r="2">
          <cell r="A2" t="str">
            <v>Administrative Appeals Tribunal</v>
          </cell>
          <cell r="B2">
            <v>5510516</v>
          </cell>
          <cell r="C2">
            <v>5056803</v>
          </cell>
          <cell r="D2">
            <v>453713</v>
          </cell>
        </row>
        <row r="3">
          <cell r="A3" t="str">
            <v>Aged Care Quality and Safety Commission</v>
          </cell>
          <cell r="B3">
            <v>2735785</v>
          </cell>
          <cell r="C3">
            <v>1769012</v>
          </cell>
          <cell r="D3">
            <v>966773</v>
          </cell>
        </row>
        <row r="4">
          <cell r="A4" t="str">
            <v>Airservices Australia</v>
          </cell>
          <cell r="B4">
            <v>6273953</v>
          </cell>
          <cell r="C4">
            <v>1600837</v>
          </cell>
          <cell r="D4">
            <v>4673116</v>
          </cell>
        </row>
        <row r="5">
          <cell r="A5" t="str">
            <v>Anindilyakwa Land Council</v>
          </cell>
          <cell r="B5">
            <v>357244</v>
          </cell>
          <cell r="C5">
            <v>98255</v>
          </cell>
          <cell r="D5">
            <v>258989</v>
          </cell>
        </row>
        <row r="6">
          <cell r="A6" t="str">
            <v>Army and Air Force Canteen Service</v>
          </cell>
          <cell r="B6">
            <v>49064</v>
          </cell>
          <cell r="C6">
            <v>44068</v>
          </cell>
          <cell r="D6">
            <v>4996</v>
          </cell>
        </row>
        <row r="7">
          <cell r="A7" t="str">
            <v>Asbestos Safety and Eradication Agency</v>
          </cell>
          <cell r="B7">
            <v>7840</v>
          </cell>
          <cell r="C7">
            <v>0</v>
          </cell>
          <cell r="D7">
            <v>7840</v>
          </cell>
        </row>
        <row r="8">
          <cell r="A8" t="str">
            <v>Attorney-General's Department</v>
          </cell>
          <cell r="B8">
            <v>67291990</v>
          </cell>
          <cell r="C8">
            <v>18194365</v>
          </cell>
          <cell r="D8">
            <v>49097625</v>
          </cell>
        </row>
        <row r="9">
          <cell r="A9" t="str">
            <v>Australia Council</v>
          </cell>
          <cell r="B9">
            <v>234132</v>
          </cell>
          <cell r="C9">
            <v>219264</v>
          </cell>
          <cell r="D9">
            <v>14868</v>
          </cell>
        </row>
        <row r="10">
          <cell r="A10" t="str">
            <v>Australian Building and Construction Commission</v>
          </cell>
          <cell r="B10">
            <v>7967942</v>
          </cell>
          <cell r="C10">
            <v>3237514</v>
          </cell>
          <cell r="D10">
            <v>4730428</v>
          </cell>
        </row>
        <row r="11">
          <cell r="A11" t="str">
            <v>Australian Bureau of Statistics</v>
          </cell>
          <cell r="B11">
            <v>347602</v>
          </cell>
          <cell r="C11">
            <v>195170</v>
          </cell>
          <cell r="D11">
            <v>152432</v>
          </cell>
        </row>
        <row r="12">
          <cell r="A12" t="str">
            <v>Australian Centre for International Agricultural Research</v>
          </cell>
          <cell r="B12">
            <v>518566</v>
          </cell>
          <cell r="C12">
            <v>0</v>
          </cell>
          <cell r="D12">
            <v>518566</v>
          </cell>
        </row>
        <row r="13">
          <cell r="A13" t="str">
            <v>Australian Commission for Law Enforcement Integrity</v>
          </cell>
          <cell r="B13">
            <v>2094123</v>
          </cell>
          <cell r="C13">
            <v>1916957</v>
          </cell>
          <cell r="D13">
            <v>177166</v>
          </cell>
        </row>
        <row r="14">
          <cell r="A14" t="str">
            <v>Australian Commission on Safety and Quality in Health Care</v>
          </cell>
          <cell r="B14">
            <v>81338</v>
          </cell>
          <cell r="C14">
            <v>0</v>
          </cell>
          <cell r="D14">
            <v>81338</v>
          </cell>
        </row>
        <row r="15">
          <cell r="A15" t="str">
            <v>Australian Communications and Media Authority</v>
          </cell>
          <cell r="B15">
            <v>4875556</v>
          </cell>
          <cell r="C15">
            <v>4020886</v>
          </cell>
          <cell r="D15">
            <v>854670</v>
          </cell>
        </row>
        <row r="16">
          <cell r="A16" t="str">
            <v>Australian Competition and Consumer Commission</v>
          </cell>
          <cell r="B16">
            <v>43801243</v>
          </cell>
          <cell r="C16">
            <v>19189330</v>
          </cell>
          <cell r="D16">
            <v>24611913</v>
          </cell>
        </row>
        <row r="17">
          <cell r="A17" t="str">
            <v>Australian Criminal Intelligence Commission</v>
          </cell>
          <cell r="B17">
            <v>5481018</v>
          </cell>
          <cell r="C17">
            <v>4430190</v>
          </cell>
          <cell r="D17">
            <v>1050828</v>
          </cell>
        </row>
        <row r="18">
          <cell r="A18" t="str">
            <v>Australian Curriculum, Assessment and Reporting Authority</v>
          </cell>
          <cell r="B18">
            <v>108029</v>
          </cell>
          <cell r="C18">
            <v>0</v>
          </cell>
          <cell r="D18">
            <v>108029</v>
          </cell>
        </row>
        <row r="19">
          <cell r="A19" t="str">
            <v>Australian Digital Health Agency</v>
          </cell>
          <cell r="B19">
            <v>1754692</v>
          </cell>
          <cell r="C19">
            <v>683927</v>
          </cell>
          <cell r="D19">
            <v>1070765</v>
          </cell>
        </row>
        <row r="20">
          <cell r="A20" t="str">
            <v>Australian Electoral Commission</v>
          </cell>
          <cell r="B20">
            <v>6210916</v>
          </cell>
          <cell r="C20">
            <v>2889949</v>
          </cell>
          <cell r="D20">
            <v>3320967</v>
          </cell>
        </row>
        <row r="21">
          <cell r="A21" t="str">
            <v>Australian Federal Police</v>
          </cell>
          <cell r="B21">
            <v>37654843</v>
          </cell>
          <cell r="C21">
            <v>28430628</v>
          </cell>
          <cell r="D21">
            <v>9224215</v>
          </cell>
        </row>
        <row r="22">
          <cell r="A22" t="str">
            <v>Australian Film, Television and Radio School</v>
          </cell>
          <cell r="B22">
            <v>60885</v>
          </cell>
          <cell r="C22">
            <v>0</v>
          </cell>
          <cell r="D22">
            <v>60885</v>
          </cell>
        </row>
        <row r="23">
          <cell r="A23" t="str">
            <v>Australian Financial Security Authority</v>
          </cell>
          <cell r="B23">
            <v>3164655</v>
          </cell>
          <cell r="C23">
            <v>1609546</v>
          </cell>
          <cell r="D23">
            <v>1555109</v>
          </cell>
        </row>
        <row r="24">
          <cell r="A24" t="str">
            <v>Australian Fisheries Management Authority</v>
          </cell>
          <cell r="B24">
            <v>764312</v>
          </cell>
          <cell r="C24">
            <v>614034</v>
          </cell>
          <cell r="D24">
            <v>150278</v>
          </cell>
        </row>
        <row r="25">
          <cell r="A25" t="str">
            <v>Australian Hearing Services</v>
          </cell>
          <cell r="B25">
            <v>701766</v>
          </cell>
          <cell r="C25">
            <v>441786</v>
          </cell>
          <cell r="D25">
            <v>259980</v>
          </cell>
        </row>
        <row r="26">
          <cell r="A26" t="str">
            <v>Australian Human Rights Commission</v>
          </cell>
          <cell r="B26">
            <v>1647967</v>
          </cell>
          <cell r="C26">
            <v>1646387</v>
          </cell>
          <cell r="D26">
            <v>1580</v>
          </cell>
        </row>
        <row r="27">
          <cell r="A27" t="str">
            <v>Australian Institute of Aboriginal and Torres Strait Islander Studies</v>
          </cell>
          <cell r="B27">
            <v>130523</v>
          </cell>
          <cell r="C27">
            <v>0</v>
          </cell>
          <cell r="D27">
            <v>130523</v>
          </cell>
        </row>
        <row r="28">
          <cell r="A28" t="str">
            <v>Australian Institute of Criminology</v>
          </cell>
          <cell r="B28">
            <v>17225</v>
          </cell>
          <cell r="C28">
            <v>0</v>
          </cell>
          <cell r="D28">
            <v>17225</v>
          </cell>
        </row>
        <row r="29">
          <cell r="A29" t="str">
            <v>Australian Institute of Family Studies</v>
          </cell>
          <cell r="B29">
            <v>70807</v>
          </cell>
          <cell r="C29">
            <v>0</v>
          </cell>
          <cell r="D29">
            <v>70807</v>
          </cell>
        </row>
        <row r="30">
          <cell r="A30" t="str">
            <v>Australian Institute of Health and Welfare</v>
          </cell>
          <cell r="B30">
            <v>288139</v>
          </cell>
          <cell r="C30">
            <v>155248</v>
          </cell>
          <cell r="D30">
            <v>132891</v>
          </cell>
        </row>
        <row r="31">
          <cell r="A31" t="str">
            <v>Australian Institute of Marine Science</v>
          </cell>
          <cell r="B31">
            <v>955509</v>
          </cell>
          <cell r="C31">
            <v>909965</v>
          </cell>
          <cell r="D31">
            <v>45544</v>
          </cell>
        </row>
        <row r="32">
          <cell r="A32" t="str">
            <v>Australian Law Reform Commission</v>
          </cell>
          <cell r="B32">
            <v>0</v>
          </cell>
          <cell r="C32">
            <v>0</v>
          </cell>
          <cell r="D32">
            <v>0</v>
          </cell>
        </row>
        <row r="33">
          <cell r="A33" t="str">
            <v>Australian Maritime Safety Authority</v>
          </cell>
          <cell r="B33">
            <v>1802091</v>
          </cell>
          <cell r="C33">
            <v>1690409</v>
          </cell>
          <cell r="D33">
            <v>111682</v>
          </cell>
        </row>
        <row r="34">
          <cell r="A34" t="str">
            <v>Australian Military Forces Relief Trust Fund</v>
          </cell>
          <cell r="B34">
            <v>0</v>
          </cell>
          <cell r="C34">
            <v>0</v>
          </cell>
          <cell r="D34">
            <v>0</v>
          </cell>
        </row>
        <row r="35">
          <cell r="A35" t="str">
            <v>Australian National Audit Office</v>
          </cell>
          <cell r="B35">
            <v>300312</v>
          </cell>
          <cell r="C35">
            <v>199115</v>
          </cell>
          <cell r="D35">
            <v>101197</v>
          </cell>
        </row>
        <row r="36">
          <cell r="A36" t="str">
            <v>Australian National Maritime Museum</v>
          </cell>
          <cell r="B36">
            <v>138677</v>
          </cell>
          <cell r="C36">
            <v>0</v>
          </cell>
          <cell r="D36">
            <v>138677</v>
          </cell>
        </row>
        <row r="37">
          <cell r="A37" t="str">
            <v>Australian Nuclear Science and Technology Organisation</v>
          </cell>
          <cell r="B37">
            <v>3835772</v>
          </cell>
          <cell r="C37">
            <v>1114300</v>
          </cell>
          <cell r="D37">
            <v>2721472</v>
          </cell>
        </row>
        <row r="38">
          <cell r="A38" t="str">
            <v>Australian Office of Financial Management</v>
          </cell>
          <cell r="B38">
            <v>76115</v>
          </cell>
          <cell r="C38">
            <v>0</v>
          </cell>
          <cell r="D38">
            <v>76115</v>
          </cell>
        </row>
        <row r="39">
          <cell r="A39" t="str">
            <v>Australian Pesticides and Veterinary Medicines Authority</v>
          </cell>
          <cell r="B39">
            <v>1745704</v>
          </cell>
          <cell r="C39">
            <v>416855</v>
          </cell>
          <cell r="D39">
            <v>1328849</v>
          </cell>
        </row>
        <row r="40">
          <cell r="A40" t="str">
            <v>Australian Prudential Regulation Authority</v>
          </cell>
          <cell r="B40">
            <v>13116201</v>
          </cell>
          <cell r="C40">
            <v>10601143</v>
          </cell>
          <cell r="D40">
            <v>2515058</v>
          </cell>
        </row>
        <row r="41">
          <cell r="A41" t="str">
            <v>Australian Public Service Commission</v>
          </cell>
          <cell r="B41">
            <v>1140547</v>
          </cell>
          <cell r="C41">
            <v>781445</v>
          </cell>
          <cell r="D41">
            <v>359102</v>
          </cell>
        </row>
        <row r="42">
          <cell r="A42" t="str">
            <v>Australian Radiation Protection and Nuclear Safety Agency</v>
          </cell>
          <cell r="B42">
            <v>453278</v>
          </cell>
          <cell r="C42">
            <v>453278</v>
          </cell>
          <cell r="D42">
            <v>0</v>
          </cell>
        </row>
        <row r="43">
          <cell r="A43" t="str">
            <v>Australian Reinsurance Pool Corporation</v>
          </cell>
          <cell r="B43">
            <v>294411</v>
          </cell>
          <cell r="C43">
            <v>0</v>
          </cell>
          <cell r="D43">
            <v>294411</v>
          </cell>
        </row>
        <row r="44">
          <cell r="A44" t="str">
            <v>Australian Renewable Energy Agency</v>
          </cell>
          <cell r="B44">
            <v>1252261</v>
          </cell>
          <cell r="C44">
            <v>0</v>
          </cell>
          <cell r="D44">
            <v>1252261</v>
          </cell>
        </row>
        <row r="45">
          <cell r="A45" t="str">
            <v>Australian Research Council</v>
          </cell>
          <cell r="B45">
            <v>176487</v>
          </cell>
          <cell r="C45">
            <v>145895</v>
          </cell>
          <cell r="D45">
            <v>30592</v>
          </cell>
        </row>
        <row r="46">
          <cell r="A46" t="str">
            <v>Australian Securities and Investments Commission</v>
          </cell>
          <cell r="B46">
            <v>85208232</v>
          </cell>
          <cell r="C46">
            <v>43642505</v>
          </cell>
          <cell r="D46">
            <v>41565727</v>
          </cell>
        </row>
        <row r="47">
          <cell r="A47" t="str">
            <v>Australian Skills Quality Authority</v>
          </cell>
          <cell r="B47">
            <v>1518629</v>
          </cell>
          <cell r="C47">
            <v>954000</v>
          </cell>
          <cell r="D47">
            <v>564629</v>
          </cell>
        </row>
        <row r="48">
          <cell r="A48" t="str">
            <v>Australian Sports Commission</v>
          </cell>
          <cell r="B48">
            <v>1031015</v>
          </cell>
          <cell r="C48">
            <v>398074</v>
          </cell>
          <cell r="D48">
            <v>632941</v>
          </cell>
        </row>
        <row r="49">
          <cell r="A49" t="str">
            <v>Australian Taxation Office</v>
          </cell>
          <cell r="B49">
            <v>92021889</v>
          </cell>
          <cell r="C49">
            <v>38671163</v>
          </cell>
          <cell r="D49">
            <v>53350726</v>
          </cell>
        </row>
        <row r="50">
          <cell r="A50" t="str">
            <v>Australian Trade and Investment Commission (Austrade)</v>
          </cell>
          <cell r="B50">
            <v>2251681</v>
          </cell>
          <cell r="C50">
            <v>1138375</v>
          </cell>
          <cell r="D50">
            <v>1113306</v>
          </cell>
        </row>
        <row r="51">
          <cell r="A51" t="str">
            <v>Australian Transaction Reports and Analysis Centre</v>
          </cell>
          <cell r="B51">
            <v>5923211</v>
          </cell>
          <cell r="C51">
            <v>1665982</v>
          </cell>
          <cell r="D51">
            <v>4257229</v>
          </cell>
        </row>
        <row r="52">
          <cell r="A52" t="str">
            <v>Australian Transport Safety Bureau</v>
          </cell>
          <cell r="B52">
            <v>261297</v>
          </cell>
          <cell r="C52">
            <v>240314</v>
          </cell>
          <cell r="D52">
            <v>20983</v>
          </cell>
        </row>
        <row r="53">
          <cell r="A53" t="str">
            <v>Australian War Memorial</v>
          </cell>
          <cell r="B53">
            <v>164514</v>
          </cell>
          <cell r="C53">
            <v>0</v>
          </cell>
          <cell r="D53">
            <v>164514</v>
          </cell>
        </row>
        <row r="54">
          <cell r="A54" t="str">
            <v>Bureau of Meteorology</v>
          </cell>
          <cell r="B54">
            <v>2041620</v>
          </cell>
          <cell r="C54">
            <v>1132680</v>
          </cell>
          <cell r="D54">
            <v>908940</v>
          </cell>
        </row>
        <row r="55">
          <cell r="A55" t="str">
            <v>Cancer Australia</v>
          </cell>
          <cell r="B55">
            <v>24398</v>
          </cell>
          <cell r="C55">
            <v>0</v>
          </cell>
          <cell r="D55">
            <v>24398</v>
          </cell>
        </row>
        <row r="56">
          <cell r="A56" t="str">
            <v>Central Land Council</v>
          </cell>
          <cell r="B56">
            <v>2221185</v>
          </cell>
          <cell r="C56">
            <v>2108692</v>
          </cell>
          <cell r="D56">
            <v>112493</v>
          </cell>
        </row>
        <row r="57">
          <cell r="A57" t="str">
            <v>Civil Aviation Safety Authority</v>
          </cell>
          <cell r="B57">
            <v>5973391</v>
          </cell>
          <cell r="C57">
            <v>5715152</v>
          </cell>
          <cell r="D57">
            <v>258239</v>
          </cell>
        </row>
        <row r="58">
          <cell r="A58" t="str">
            <v>Clean Energy Finance Corporation</v>
          </cell>
          <cell r="B58">
            <v>4382272</v>
          </cell>
          <cell r="C58">
            <v>3328352</v>
          </cell>
          <cell r="D58">
            <v>1053920</v>
          </cell>
        </row>
        <row r="59">
          <cell r="A59" t="str">
            <v>Clean Energy Regulator</v>
          </cell>
          <cell r="B59">
            <v>2445687</v>
          </cell>
          <cell r="C59">
            <v>1614402</v>
          </cell>
          <cell r="D59">
            <v>831285</v>
          </cell>
        </row>
        <row r="60">
          <cell r="A60" t="str">
            <v>Climate Change Authority</v>
          </cell>
          <cell r="B60">
            <v>17600</v>
          </cell>
          <cell r="C60">
            <v>0</v>
          </cell>
          <cell r="D60">
            <v>17600</v>
          </cell>
        </row>
        <row r="61">
          <cell r="A61" t="str">
            <v>Coal Mining Industry (Long Service Leave Funding) Corporation</v>
          </cell>
          <cell r="B61">
            <v>2766196</v>
          </cell>
          <cell r="C61">
            <v>1999051</v>
          </cell>
          <cell r="D61">
            <v>767145</v>
          </cell>
        </row>
        <row r="62">
          <cell r="A62" t="str">
            <v>Comcare</v>
          </cell>
          <cell r="B62">
            <v>22367363</v>
          </cell>
          <cell r="C62">
            <v>10014307</v>
          </cell>
          <cell r="D62">
            <v>12353056</v>
          </cell>
        </row>
        <row r="63">
          <cell r="A63" t="str">
            <v>Commonwealth Grants Commission</v>
          </cell>
          <cell r="B63">
            <v>30334</v>
          </cell>
          <cell r="C63">
            <v>0</v>
          </cell>
          <cell r="D63">
            <v>30334</v>
          </cell>
        </row>
        <row r="64">
          <cell r="A64" t="str">
            <v>Commonwealth Scientific and Industrial Research Organisation</v>
          </cell>
          <cell r="B64">
            <v>8184346</v>
          </cell>
          <cell r="C64">
            <v>6722674</v>
          </cell>
          <cell r="D64">
            <v>1461672</v>
          </cell>
        </row>
        <row r="65">
          <cell r="A65" t="str">
            <v>Commonwealth Superannuation Corporation</v>
          </cell>
          <cell r="B65">
            <v>4404176</v>
          </cell>
          <cell r="C65">
            <v>2867346</v>
          </cell>
          <cell r="D65">
            <v>1536830</v>
          </cell>
        </row>
        <row r="66">
          <cell r="A66" t="str">
            <v>Cotton Research and Development Corporation</v>
          </cell>
          <cell r="B66">
            <v>87257</v>
          </cell>
          <cell r="C66">
            <v>0</v>
          </cell>
          <cell r="D66">
            <v>87257</v>
          </cell>
        </row>
        <row r="67">
          <cell r="A67" t="str">
            <v>Department of Agriculture, Water and the Environment</v>
          </cell>
          <cell r="B67">
            <v>30435361</v>
          </cell>
          <cell r="C67">
            <v>11865210</v>
          </cell>
          <cell r="D67">
            <v>18570151</v>
          </cell>
        </row>
        <row r="68">
          <cell r="A68" t="str">
            <v>Department of Defence</v>
          </cell>
          <cell r="B68">
            <v>146385044</v>
          </cell>
          <cell r="C68">
            <v>67712932</v>
          </cell>
          <cell r="D68">
            <v>78672112</v>
          </cell>
        </row>
        <row r="69">
          <cell r="A69" t="str">
            <v>Department of Education, Skills and Employment</v>
          </cell>
          <cell r="B69">
            <v>21475554</v>
          </cell>
          <cell r="C69">
            <v>13427022</v>
          </cell>
          <cell r="D69">
            <v>8048532</v>
          </cell>
        </row>
        <row r="70">
          <cell r="A70" t="str">
            <v>Department of Finance</v>
          </cell>
          <cell r="B70">
            <v>41680431</v>
          </cell>
          <cell r="C70">
            <v>1963594</v>
          </cell>
          <cell r="D70">
            <v>39716837</v>
          </cell>
        </row>
        <row r="71">
          <cell r="A71" t="str">
            <v>Department of Foreign Affairs and Trade</v>
          </cell>
          <cell r="B71">
            <v>34439114</v>
          </cell>
          <cell r="C71">
            <v>19243258</v>
          </cell>
          <cell r="D71">
            <v>15195856</v>
          </cell>
        </row>
        <row r="72">
          <cell r="A72" t="str">
            <v>Department of Health</v>
          </cell>
          <cell r="B72">
            <v>39269275</v>
          </cell>
          <cell r="C72">
            <v>18889546</v>
          </cell>
          <cell r="D72">
            <v>20379729</v>
          </cell>
        </row>
        <row r="73">
          <cell r="A73" t="str">
            <v>Department of Home Affairs</v>
          </cell>
          <cell r="B73">
            <v>103456003</v>
          </cell>
          <cell r="C73">
            <v>39490063</v>
          </cell>
          <cell r="D73">
            <v>63965940</v>
          </cell>
        </row>
        <row r="74">
          <cell r="A74" t="str">
            <v>Department of Industry, Science, Energy and Resources</v>
          </cell>
          <cell r="B74">
            <v>26472800</v>
          </cell>
          <cell r="C74">
            <v>8366278</v>
          </cell>
          <cell r="D74">
            <v>18106522</v>
          </cell>
        </row>
        <row r="75">
          <cell r="A75" t="str">
            <v>Department of Infrastructure, Transport, Regional Development and Communications</v>
          </cell>
          <cell r="B75">
            <v>8695672</v>
          </cell>
          <cell r="C75">
            <v>3896000</v>
          </cell>
          <cell r="D75">
            <v>4799672</v>
          </cell>
        </row>
        <row r="76">
          <cell r="A76" t="str">
            <v>Department of Parliamentary Services</v>
          </cell>
          <cell r="B76">
            <v>1066862</v>
          </cell>
          <cell r="C76">
            <v>833948</v>
          </cell>
          <cell r="D76">
            <v>232914</v>
          </cell>
        </row>
        <row r="77">
          <cell r="A77" t="str">
            <v>Department of Social Services</v>
          </cell>
          <cell r="B77">
            <v>13363746</v>
          </cell>
          <cell r="C77">
            <v>6625481</v>
          </cell>
          <cell r="D77">
            <v>6738265</v>
          </cell>
        </row>
        <row r="78">
          <cell r="A78" t="str">
            <v>Department of the House of Representatives</v>
          </cell>
          <cell r="B78">
            <v>111285</v>
          </cell>
          <cell r="C78">
            <v>0</v>
          </cell>
          <cell r="D78">
            <v>111285</v>
          </cell>
        </row>
        <row r="79">
          <cell r="A79" t="str">
            <v>Department of the Prime Minister and Cabinet</v>
          </cell>
          <cell r="B79">
            <v>2053150</v>
          </cell>
          <cell r="C79">
            <v>413879</v>
          </cell>
          <cell r="D79">
            <v>1639271</v>
          </cell>
        </row>
        <row r="80">
          <cell r="A80" t="str">
            <v>Department of the Senate</v>
          </cell>
          <cell r="B80">
            <v>0</v>
          </cell>
          <cell r="C80">
            <v>0</v>
          </cell>
          <cell r="D80">
            <v>0</v>
          </cell>
        </row>
        <row r="81">
          <cell r="A81" t="str">
            <v>Department of the Treasury</v>
          </cell>
          <cell r="B81">
            <v>8683107</v>
          </cell>
          <cell r="C81">
            <v>4483353</v>
          </cell>
          <cell r="D81">
            <v>4199754</v>
          </cell>
        </row>
        <row r="82">
          <cell r="A82" t="str">
            <v>Department of Veterans' Affairs</v>
          </cell>
          <cell r="B82">
            <v>19070177</v>
          </cell>
          <cell r="C82">
            <v>7777745</v>
          </cell>
          <cell r="D82">
            <v>11292432</v>
          </cell>
        </row>
        <row r="83">
          <cell r="A83" t="str">
            <v>Digital Transformation Agency</v>
          </cell>
          <cell r="B83">
            <v>2699923</v>
          </cell>
          <cell r="C83">
            <v>204097</v>
          </cell>
          <cell r="D83">
            <v>2495826</v>
          </cell>
        </row>
        <row r="84">
          <cell r="A84" t="str">
            <v>Director of National Parks</v>
          </cell>
          <cell r="B84">
            <v>1686733</v>
          </cell>
          <cell r="C84">
            <v>805896</v>
          </cell>
          <cell r="D84">
            <v>880837</v>
          </cell>
        </row>
        <row r="85">
          <cell r="A85" t="str">
            <v>Export Finance and Insurance Corporation (Export Finance Australia)</v>
          </cell>
          <cell r="B85">
            <v>8932341</v>
          </cell>
          <cell r="C85">
            <v>1682057</v>
          </cell>
          <cell r="D85">
            <v>7250284</v>
          </cell>
        </row>
        <row r="86">
          <cell r="A86" t="str">
            <v>Fair Work Commission</v>
          </cell>
          <cell r="B86">
            <v>1311221</v>
          </cell>
          <cell r="C86">
            <v>1188994</v>
          </cell>
          <cell r="D86">
            <v>122227</v>
          </cell>
        </row>
        <row r="87">
          <cell r="A87" t="str">
            <v>Fair Work Ombudsman and Registered Organisations Commission Entity</v>
          </cell>
          <cell r="B87">
            <v>26982498</v>
          </cell>
          <cell r="C87">
            <v>12486256</v>
          </cell>
          <cell r="D87">
            <v>14496242</v>
          </cell>
        </row>
        <row r="88">
          <cell r="A88" t="str">
            <v>Federal Court of Australia</v>
          </cell>
          <cell r="B88">
            <v>652314</v>
          </cell>
          <cell r="C88">
            <v>0</v>
          </cell>
          <cell r="D88">
            <v>652314</v>
          </cell>
        </row>
        <row r="89">
          <cell r="A89" t="str">
            <v>Fisheries Research and Development Corporation</v>
          </cell>
          <cell r="B89">
            <v>34192</v>
          </cell>
          <cell r="C89">
            <v>0</v>
          </cell>
          <cell r="D89">
            <v>34192</v>
          </cell>
        </row>
        <row r="90">
          <cell r="A90" t="str">
            <v>Food Standards Australia New Zealand</v>
          </cell>
          <cell r="B90">
            <v>1218272</v>
          </cell>
          <cell r="C90">
            <v>991523</v>
          </cell>
          <cell r="D90">
            <v>226749</v>
          </cell>
        </row>
        <row r="91">
          <cell r="A91" t="str">
            <v>Future Fund Management Agency</v>
          </cell>
          <cell r="B91">
            <v>3683135</v>
          </cell>
          <cell r="C91">
            <v>3035419</v>
          </cell>
          <cell r="D91">
            <v>647716</v>
          </cell>
        </row>
        <row r="92">
          <cell r="A92" t="str">
            <v>Geoscience Australia</v>
          </cell>
          <cell r="B92">
            <v>1372692</v>
          </cell>
          <cell r="C92">
            <v>223876</v>
          </cell>
          <cell r="D92">
            <v>1148816</v>
          </cell>
        </row>
        <row r="93">
          <cell r="A93" t="str">
            <v>Grains Research and Development Corporation</v>
          </cell>
          <cell r="B93">
            <v>788907</v>
          </cell>
          <cell r="C93">
            <v>450865</v>
          </cell>
          <cell r="D93">
            <v>338042</v>
          </cell>
        </row>
        <row r="94">
          <cell r="A94" t="str">
            <v>Great Barrier Reef Marine Park Authority</v>
          </cell>
          <cell r="B94">
            <v>1413417</v>
          </cell>
          <cell r="C94">
            <v>1020380</v>
          </cell>
          <cell r="D94">
            <v>393037</v>
          </cell>
        </row>
        <row r="95">
          <cell r="A95" t="str">
            <v>Independent Hospital Pricing Authority</v>
          </cell>
          <cell r="B95">
            <v>183737</v>
          </cell>
          <cell r="C95">
            <v>85000</v>
          </cell>
          <cell r="D95">
            <v>98737</v>
          </cell>
        </row>
        <row r="96">
          <cell r="A96" t="str">
            <v>Independent Parliamentary Expenses Authority</v>
          </cell>
          <cell r="B96">
            <v>500233</v>
          </cell>
          <cell r="C96">
            <v>106615</v>
          </cell>
          <cell r="D96">
            <v>393618</v>
          </cell>
        </row>
        <row r="97">
          <cell r="A97" t="str">
            <v>Indigenous Business Australia</v>
          </cell>
          <cell r="B97">
            <v>2062134</v>
          </cell>
          <cell r="C97">
            <v>1625792</v>
          </cell>
          <cell r="D97">
            <v>436342</v>
          </cell>
        </row>
        <row r="98">
          <cell r="A98" t="str">
            <v>Indigenous Land and Sea Corporation</v>
          </cell>
          <cell r="B98">
            <v>1231232</v>
          </cell>
          <cell r="C98">
            <v>681848</v>
          </cell>
          <cell r="D98">
            <v>549384</v>
          </cell>
        </row>
        <row r="99">
          <cell r="A99" t="str">
            <v>Infrastructure Australia</v>
          </cell>
          <cell r="B99">
            <v>189024</v>
          </cell>
          <cell r="C99">
            <v>176218</v>
          </cell>
          <cell r="D99">
            <v>12806</v>
          </cell>
        </row>
        <row r="100">
          <cell r="A100" t="str">
            <v>Inspector-General of Taxation</v>
          </cell>
          <cell r="B100">
            <v>59667</v>
          </cell>
          <cell r="C100">
            <v>0</v>
          </cell>
          <cell r="D100">
            <v>59667</v>
          </cell>
        </row>
        <row r="101">
          <cell r="A101" t="str">
            <v>IP Australia</v>
          </cell>
          <cell r="B101">
            <v>2319862</v>
          </cell>
          <cell r="C101">
            <v>1056853</v>
          </cell>
          <cell r="D101">
            <v>1263009</v>
          </cell>
        </row>
        <row r="102">
          <cell r="A102" t="str">
            <v>Murray-Darling Basin Authority</v>
          </cell>
          <cell r="B102">
            <v>1429222</v>
          </cell>
          <cell r="C102">
            <v>1086682</v>
          </cell>
          <cell r="D102">
            <v>342540</v>
          </cell>
        </row>
        <row r="103">
          <cell r="A103" t="str">
            <v>National Archives of Australia</v>
          </cell>
          <cell r="B103">
            <v>519548</v>
          </cell>
          <cell r="C103">
            <v>0</v>
          </cell>
          <cell r="D103">
            <v>519548</v>
          </cell>
        </row>
        <row r="104">
          <cell r="A104" t="str">
            <v>National Blood Authority</v>
          </cell>
          <cell r="B104">
            <v>408616</v>
          </cell>
          <cell r="C104">
            <v>0</v>
          </cell>
          <cell r="D104">
            <v>408616</v>
          </cell>
        </row>
        <row r="105">
          <cell r="A105" t="str">
            <v>National Capital Authority</v>
          </cell>
          <cell r="B105">
            <v>1256485</v>
          </cell>
          <cell r="C105">
            <v>181453</v>
          </cell>
          <cell r="D105">
            <v>1075032</v>
          </cell>
        </row>
        <row r="106">
          <cell r="A106" t="str">
            <v>National Competition Council</v>
          </cell>
          <cell r="B106">
            <v>70592</v>
          </cell>
          <cell r="C106">
            <v>60289</v>
          </cell>
          <cell r="D106">
            <v>10303</v>
          </cell>
        </row>
        <row r="107">
          <cell r="A107" t="str">
            <v>National Disability Insurance Agency</v>
          </cell>
          <cell r="B107">
            <v>66887314</v>
          </cell>
          <cell r="C107">
            <v>7472904</v>
          </cell>
          <cell r="D107">
            <v>59414410</v>
          </cell>
        </row>
        <row r="108">
          <cell r="A108" t="str">
            <v>National Faster Rail Agency</v>
          </cell>
          <cell r="B108">
            <v>2486</v>
          </cell>
          <cell r="C108">
            <v>0</v>
          </cell>
          <cell r="D108">
            <v>2486</v>
          </cell>
        </row>
        <row r="109">
          <cell r="A109" t="str">
            <v>National Film and Sound Archive of Australia</v>
          </cell>
          <cell r="B109">
            <v>122953</v>
          </cell>
          <cell r="C109">
            <v>86779</v>
          </cell>
          <cell r="D109">
            <v>36174</v>
          </cell>
        </row>
        <row r="110">
          <cell r="A110" t="str">
            <v>National Gallery of Australia</v>
          </cell>
          <cell r="B110">
            <v>285436</v>
          </cell>
          <cell r="C110">
            <v>120390</v>
          </cell>
          <cell r="D110">
            <v>165046</v>
          </cell>
        </row>
        <row r="111">
          <cell r="A111" t="str">
            <v>National Health and Medical Research Council</v>
          </cell>
          <cell r="B111">
            <v>385184</v>
          </cell>
          <cell r="C111">
            <v>291709</v>
          </cell>
          <cell r="D111">
            <v>93475</v>
          </cell>
        </row>
        <row r="112">
          <cell r="A112" t="str">
            <v>National Health Funding Body</v>
          </cell>
          <cell r="B112">
            <v>8479</v>
          </cell>
          <cell r="C112">
            <v>1911</v>
          </cell>
          <cell r="D112">
            <v>6568</v>
          </cell>
        </row>
        <row r="113">
          <cell r="A113" t="str">
            <v>National Housing Finance and Investment Corporation</v>
          </cell>
          <cell r="B113">
            <v>1320958</v>
          </cell>
          <cell r="C113">
            <v>909534</v>
          </cell>
          <cell r="D113">
            <v>411424</v>
          </cell>
        </row>
        <row r="114">
          <cell r="A114" t="str">
            <v>National Indigenous Australians Agency</v>
          </cell>
          <cell r="B114">
            <v>9086255</v>
          </cell>
          <cell r="C114">
            <v>5281450</v>
          </cell>
          <cell r="D114">
            <v>3804805</v>
          </cell>
        </row>
        <row r="115">
          <cell r="A115" t="str">
            <v>National Library of Australia</v>
          </cell>
          <cell r="B115">
            <v>264597</v>
          </cell>
          <cell r="C115">
            <v>180572</v>
          </cell>
          <cell r="D115">
            <v>84025</v>
          </cell>
        </row>
        <row r="116">
          <cell r="A116" t="str">
            <v>National Mental Health Commission</v>
          </cell>
          <cell r="B116">
            <v>98600</v>
          </cell>
          <cell r="C116">
            <v>0</v>
          </cell>
          <cell r="D116">
            <v>98600</v>
          </cell>
        </row>
        <row r="117">
          <cell r="A117" t="str">
            <v>National Museum of Australia</v>
          </cell>
          <cell r="B117">
            <v>196373</v>
          </cell>
          <cell r="C117">
            <v>170964</v>
          </cell>
          <cell r="D117">
            <v>25409</v>
          </cell>
        </row>
        <row r="118">
          <cell r="A118" t="str">
            <v>National Offshore Petroleum Safety and Environmental Management Authority</v>
          </cell>
          <cell r="B118">
            <v>1203526</v>
          </cell>
          <cell r="C118">
            <v>983831</v>
          </cell>
          <cell r="D118">
            <v>219695</v>
          </cell>
        </row>
        <row r="119">
          <cell r="A119" t="str">
            <v>National Portrait Gallery of Australia</v>
          </cell>
          <cell r="B119">
            <v>984</v>
          </cell>
          <cell r="C119">
            <v>0</v>
          </cell>
          <cell r="D119">
            <v>984</v>
          </cell>
        </row>
        <row r="120">
          <cell r="A120" t="str">
            <v>National Recovery and Resilience Agency</v>
          </cell>
          <cell r="B120">
            <v>671755</v>
          </cell>
          <cell r="C120">
            <v>308905</v>
          </cell>
          <cell r="D120">
            <v>362850</v>
          </cell>
        </row>
        <row r="121">
          <cell r="A121" t="str">
            <v>National Transport Commission</v>
          </cell>
          <cell r="B121">
            <v>129332</v>
          </cell>
          <cell r="C121">
            <v>62668</v>
          </cell>
          <cell r="D121">
            <v>66664</v>
          </cell>
        </row>
        <row r="122">
          <cell r="A122" t="str">
            <v>NDIS Quality and Safeguards Commission</v>
          </cell>
          <cell r="B122">
            <v>2830786</v>
          </cell>
          <cell r="C122">
            <v>2296927</v>
          </cell>
          <cell r="D122">
            <v>533859</v>
          </cell>
        </row>
        <row r="123">
          <cell r="A123" t="str">
            <v>North Queensland Water Infrastructure Authority</v>
          </cell>
          <cell r="B123">
            <v>2487</v>
          </cell>
          <cell r="C123">
            <v>0</v>
          </cell>
          <cell r="D123">
            <v>2487</v>
          </cell>
        </row>
        <row r="124">
          <cell r="A124" t="str">
            <v>Northern Australia Infrastructure Facility</v>
          </cell>
          <cell r="B124">
            <v>1514343</v>
          </cell>
          <cell r="C124">
            <v>724811</v>
          </cell>
          <cell r="D124">
            <v>789532</v>
          </cell>
        </row>
        <row r="125">
          <cell r="A125" t="str">
            <v>Northern Land Council</v>
          </cell>
          <cell r="B125">
            <v>8441765</v>
          </cell>
          <cell r="C125">
            <v>5669178</v>
          </cell>
          <cell r="D125">
            <v>2772587</v>
          </cell>
        </row>
        <row r="126">
          <cell r="A126" t="str">
            <v>Office of Parliamentary Counsel</v>
          </cell>
          <cell r="B126">
            <v>75601</v>
          </cell>
          <cell r="C126">
            <v>0</v>
          </cell>
          <cell r="D126">
            <v>75601</v>
          </cell>
        </row>
        <row r="127">
          <cell r="A127" t="str">
            <v>Office of the Auditing and Assurance Standards Board</v>
          </cell>
          <cell r="B127">
            <v>15667</v>
          </cell>
          <cell r="C127">
            <v>0</v>
          </cell>
          <cell r="D127">
            <v>15667</v>
          </cell>
        </row>
        <row r="128">
          <cell r="A128" t="str">
            <v xml:space="preserve">Office of the Australian Accounting Standards Board </v>
          </cell>
          <cell r="B128">
            <v>27898</v>
          </cell>
          <cell r="C128">
            <v>0</v>
          </cell>
          <cell r="D128">
            <v>27898</v>
          </cell>
        </row>
        <row r="129">
          <cell r="A129" t="str">
            <v>Office of the Australian Information Commissioner</v>
          </cell>
          <cell r="B129">
            <v>2308702</v>
          </cell>
          <cell r="C129">
            <v>1276275</v>
          </cell>
          <cell r="D129">
            <v>1032427</v>
          </cell>
        </row>
        <row r="130">
          <cell r="A130" t="str">
            <v>Office of the Commonwealth Ombudsman</v>
          </cell>
          <cell r="B130">
            <v>930463</v>
          </cell>
          <cell r="C130">
            <v>785388</v>
          </cell>
          <cell r="D130">
            <v>145075</v>
          </cell>
        </row>
        <row r="131">
          <cell r="A131" t="str">
            <v>Office of the Director of Public Prosecutions</v>
          </cell>
          <cell r="B131">
            <v>25820</v>
          </cell>
          <cell r="C131">
            <v>0</v>
          </cell>
          <cell r="D131">
            <v>25820</v>
          </cell>
        </row>
        <row r="132">
          <cell r="A132" t="str">
            <v>Office of the Inspector-General of Intelligence and Security</v>
          </cell>
          <cell r="B132">
            <v>878548</v>
          </cell>
          <cell r="C132">
            <v>863219</v>
          </cell>
          <cell r="D132">
            <v>15329</v>
          </cell>
        </row>
        <row r="133">
          <cell r="A133" t="str">
            <v>Office of the Official Secretary to the Governor-General</v>
          </cell>
          <cell r="B133">
            <v>130692</v>
          </cell>
          <cell r="C133">
            <v>0</v>
          </cell>
          <cell r="D133">
            <v>130692</v>
          </cell>
        </row>
        <row r="134">
          <cell r="A134" t="str">
            <v>Office of the Special Investigator</v>
          </cell>
          <cell r="B134">
            <v>2663287</v>
          </cell>
          <cell r="C134">
            <v>0</v>
          </cell>
          <cell r="D134">
            <v>2663287</v>
          </cell>
        </row>
        <row r="135">
          <cell r="A135" t="str">
            <v>Old Parliament House</v>
          </cell>
          <cell r="B135">
            <v>25718</v>
          </cell>
          <cell r="C135">
            <v>0</v>
          </cell>
          <cell r="D135">
            <v>25718</v>
          </cell>
        </row>
        <row r="136">
          <cell r="A136" t="str">
            <v>Organ and Tissue Authority</v>
          </cell>
          <cell r="B136">
            <v>42038</v>
          </cell>
          <cell r="C136">
            <v>0</v>
          </cell>
          <cell r="D136">
            <v>42038</v>
          </cell>
        </row>
        <row r="137">
          <cell r="A137" t="str">
            <v>Parliamentary Budget Office</v>
          </cell>
          <cell r="B137">
            <v>7140</v>
          </cell>
          <cell r="C137">
            <v>0</v>
          </cell>
          <cell r="D137">
            <v>7140</v>
          </cell>
        </row>
        <row r="138">
          <cell r="A138" t="str">
            <v>Productivity Commission</v>
          </cell>
          <cell r="B138">
            <v>21418</v>
          </cell>
          <cell r="C138">
            <v>0</v>
          </cell>
          <cell r="D138">
            <v>21418</v>
          </cell>
        </row>
        <row r="139">
          <cell r="A139" t="str">
            <v>Professional Services Review</v>
          </cell>
          <cell r="B139">
            <v>4186342</v>
          </cell>
          <cell r="C139">
            <v>2507330</v>
          </cell>
          <cell r="D139">
            <v>1679012</v>
          </cell>
        </row>
        <row r="140">
          <cell r="A140" t="str">
            <v>Regional Investment Corporation</v>
          </cell>
          <cell r="B140">
            <v>828719</v>
          </cell>
          <cell r="C140">
            <v>0</v>
          </cell>
          <cell r="D140">
            <v>828719</v>
          </cell>
        </row>
        <row r="141">
          <cell r="A141" t="str">
            <v>Reserve Bank of Australia</v>
          </cell>
          <cell r="B141">
            <v>3803055</v>
          </cell>
          <cell r="C141">
            <v>2253778</v>
          </cell>
          <cell r="D141">
            <v>1549277</v>
          </cell>
        </row>
        <row r="142">
          <cell r="A142" t="str">
            <v>Royal Australian Air Force Veterans' Residences Trust Fund</v>
          </cell>
          <cell r="B142">
            <v>1062</v>
          </cell>
          <cell r="C142">
            <v>0</v>
          </cell>
          <cell r="D142">
            <v>1062</v>
          </cell>
        </row>
        <row r="143">
          <cell r="A143" t="str">
            <v>Royal Australian Air Force Welfare Trust Fund</v>
          </cell>
          <cell r="B143">
            <v>0</v>
          </cell>
          <cell r="C143">
            <v>0</v>
          </cell>
          <cell r="D143">
            <v>0</v>
          </cell>
        </row>
        <row r="144">
          <cell r="A144" t="str">
            <v>Royal Australian Mint</v>
          </cell>
          <cell r="B144">
            <v>308172</v>
          </cell>
          <cell r="C144">
            <v>125331</v>
          </cell>
          <cell r="D144">
            <v>182841</v>
          </cell>
        </row>
        <row r="145">
          <cell r="A145" t="str">
            <v>Royal Australian Navy Central Canteens Board</v>
          </cell>
          <cell r="B145">
            <v>180681</v>
          </cell>
          <cell r="C145">
            <v>0</v>
          </cell>
          <cell r="D145">
            <v>180681</v>
          </cell>
        </row>
        <row r="146">
          <cell r="A146" t="str">
            <v>Royal Australian Navy Relief Trust Fund</v>
          </cell>
          <cell r="B146">
            <v>0</v>
          </cell>
          <cell r="C146">
            <v>0</v>
          </cell>
          <cell r="D146">
            <v>0</v>
          </cell>
        </row>
        <row r="147">
          <cell r="A147" t="str">
            <v>Rural Industries Research and Development Corporation (AgriFutures Australia)</v>
          </cell>
          <cell r="B147">
            <v>230724</v>
          </cell>
          <cell r="C147">
            <v>89660</v>
          </cell>
          <cell r="D147">
            <v>141064</v>
          </cell>
        </row>
        <row r="148">
          <cell r="A148" t="str">
            <v>Safe Work Australia</v>
          </cell>
          <cell r="B148">
            <v>1257910</v>
          </cell>
          <cell r="C148">
            <v>1091898</v>
          </cell>
          <cell r="D148">
            <v>166012</v>
          </cell>
        </row>
        <row r="149">
          <cell r="A149" t="str">
            <v>Screen Australia</v>
          </cell>
          <cell r="B149">
            <v>1820094</v>
          </cell>
          <cell r="C149">
            <v>983229</v>
          </cell>
          <cell r="D149">
            <v>836865</v>
          </cell>
        </row>
        <row r="150">
          <cell r="A150" t="str">
            <v>Seafarers Safety, Rehabilitation and Compensation Authority (Seacare Authority)</v>
          </cell>
          <cell r="B150">
            <v>0</v>
          </cell>
          <cell r="C150">
            <v>0</v>
          </cell>
          <cell r="D150">
            <v>0</v>
          </cell>
        </row>
        <row r="151">
          <cell r="A151" t="str">
            <v>Services Australia</v>
          </cell>
          <cell r="B151">
            <v>41245325</v>
          </cell>
          <cell r="C151">
            <v>23083174</v>
          </cell>
          <cell r="D151">
            <v>18162151</v>
          </cell>
        </row>
        <row r="152">
          <cell r="A152" t="str">
            <v>Sport Integrity Australia</v>
          </cell>
          <cell r="B152">
            <v>1622420</v>
          </cell>
          <cell r="C152">
            <v>1027823</v>
          </cell>
          <cell r="D152">
            <v>594597</v>
          </cell>
        </row>
        <row r="153">
          <cell r="A153" t="str">
            <v>Sydney Harbour Federation Trust</v>
          </cell>
          <cell r="B153">
            <v>325243</v>
          </cell>
          <cell r="C153">
            <v>88333</v>
          </cell>
          <cell r="D153">
            <v>236910</v>
          </cell>
        </row>
        <row r="154">
          <cell r="A154" t="str">
            <v>Tertiary Education Quality and Standards Agency</v>
          </cell>
          <cell r="B154">
            <v>1148232</v>
          </cell>
          <cell r="C154">
            <v>695127</v>
          </cell>
          <cell r="D154">
            <v>453105</v>
          </cell>
        </row>
        <row r="155">
          <cell r="A155" t="str">
            <v>Tiwi Land Council</v>
          </cell>
          <cell r="B155">
            <v>269407</v>
          </cell>
          <cell r="C155">
            <v>203980</v>
          </cell>
          <cell r="D155">
            <v>65427</v>
          </cell>
        </row>
        <row r="156">
          <cell r="A156" t="str">
            <v>Torres Strait Regional Authority</v>
          </cell>
          <cell r="B156">
            <v>150390</v>
          </cell>
          <cell r="C156">
            <v>0</v>
          </cell>
          <cell r="D156">
            <v>150390</v>
          </cell>
        </row>
        <row r="157">
          <cell r="A157" t="str">
            <v>Tourism Australia</v>
          </cell>
          <cell r="B157">
            <v>1011899</v>
          </cell>
          <cell r="C157">
            <v>635852</v>
          </cell>
          <cell r="D157">
            <v>376047</v>
          </cell>
        </row>
        <row r="158">
          <cell r="A158" t="str">
            <v>Wine Australia</v>
          </cell>
          <cell r="B158">
            <v>241980</v>
          </cell>
          <cell r="C158">
            <v>100000</v>
          </cell>
          <cell r="D158">
            <v>141980</v>
          </cell>
        </row>
        <row r="159">
          <cell r="A159" t="str">
            <v>Workplace Gender Equality Agency</v>
          </cell>
          <cell r="B159">
            <v>3237</v>
          </cell>
          <cell r="C159">
            <v>0</v>
          </cell>
          <cell r="D159">
            <v>3237</v>
          </cell>
        </row>
        <row r="160">
          <cell r="A160" t="str">
            <v>Wreck Bay Aboriginal Community Council</v>
          </cell>
          <cell r="B160">
            <v>21458</v>
          </cell>
          <cell r="C160">
            <v>0</v>
          </cell>
          <cell r="D160">
            <v>21458</v>
          </cell>
        </row>
        <row r="161">
          <cell r="A161" t="str">
            <v>Total</v>
          </cell>
          <cell r="B161">
            <v>1185742862</v>
          </cell>
          <cell r="C161">
            <v>527480982</v>
          </cell>
          <cell r="D161">
            <v>658261880</v>
          </cell>
        </row>
      </sheetData>
      <sheetData sheetId="3">
        <row r="4">
          <cell r="A4" t="str">
            <v>Administrative Appeals Tribunal</v>
          </cell>
          <cell r="C4">
            <v>513.29946578299996</v>
          </cell>
        </row>
        <row r="5">
          <cell r="A5" t="str">
            <v>Aged Care Quality and Safety Commission</v>
          </cell>
          <cell r="C5">
            <v>2995.5326774893001</v>
          </cell>
        </row>
        <row r="6">
          <cell r="A6" t="str">
            <v>Asbestos Safety and Eradication Agency</v>
          </cell>
          <cell r="C6">
            <v>0</v>
          </cell>
        </row>
        <row r="7">
          <cell r="A7" t="str">
            <v>Attorney-General's Department</v>
          </cell>
          <cell r="B7" t="str">
            <v>MOG</v>
          </cell>
          <cell r="C7">
            <v>43560.848288867026</v>
          </cell>
        </row>
        <row r="8">
          <cell r="A8" t="str">
            <v>Australian Bureau of Statistics</v>
          </cell>
          <cell r="C8">
            <v>0</v>
          </cell>
        </row>
        <row r="9">
          <cell r="A9" t="str">
            <v>Australian Centre for International Agricultural Research</v>
          </cell>
          <cell r="C9">
            <v>0</v>
          </cell>
        </row>
        <row r="10">
          <cell r="A10" t="str">
            <v>Australian Commission for Law Enforcement Integrity</v>
          </cell>
          <cell r="C10">
            <v>0</v>
          </cell>
        </row>
        <row r="11">
          <cell r="A11" t="str">
            <v>Australian Communications and Media Authority</v>
          </cell>
          <cell r="C11">
            <v>0</v>
          </cell>
        </row>
        <row r="12">
          <cell r="A12" t="str">
            <v>Australian Competition and Consumer Commission</v>
          </cell>
          <cell r="C12">
            <v>2400.7303435596</v>
          </cell>
        </row>
        <row r="13">
          <cell r="A13" t="str">
            <v>Australian Criminal Intelligence Commission</v>
          </cell>
          <cell r="C13">
            <v>724.40114028360006</v>
          </cell>
        </row>
        <row r="14">
          <cell r="A14" t="str">
            <v>Australian Digital Health Agency</v>
          </cell>
          <cell r="C14">
            <v>3664.5916926333002</v>
          </cell>
        </row>
        <row r="15">
          <cell r="A15" t="str">
            <v>Australian Electoral Commission</v>
          </cell>
          <cell r="C15">
            <v>2183.5246351476999</v>
          </cell>
        </row>
        <row r="16">
          <cell r="A16" t="str">
            <v>Australian Federal Police</v>
          </cell>
          <cell r="C16">
            <v>8828.2780521584991</v>
          </cell>
        </row>
        <row r="17">
          <cell r="A17" t="str">
            <v>Australian Financial Security Authority</v>
          </cell>
          <cell r="C17">
            <v>6578.8265038002</v>
          </cell>
        </row>
        <row r="18">
          <cell r="A18" t="str">
            <v>Australian Fisheries Management Authority</v>
          </cell>
          <cell r="C18">
            <v>0</v>
          </cell>
        </row>
        <row r="19">
          <cell r="A19" t="str">
            <v>Australian Hearing Services</v>
          </cell>
          <cell r="C19">
            <v>1374.6878455167</v>
          </cell>
        </row>
        <row r="20">
          <cell r="A20" t="str">
            <v>Australian Institute of Criminology</v>
          </cell>
          <cell r="C20">
            <v>0</v>
          </cell>
        </row>
        <row r="21">
          <cell r="A21" t="str">
            <v>Australian Institute of Family Studies</v>
          </cell>
          <cell r="C21">
            <v>0</v>
          </cell>
        </row>
        <row r="22">
          <cell r="A22" t="str">
            <v>Australian Institute of Health and Welfare</v>
          </cell>
          <cell r="C22">
            <v>918.77801288988007</v>
          </cell>
        </row>
        <row r="23">
          <cell r="A23" t="str">
            <v>Australian Law Reform Commission</v>
          </cell>
          <cell r="C23">
            <v>0</v>
          </cell>
        </row>
        <row r="24">
          <cell r="A24" t="str">
            <v>Australian Maritime Safety Authority</v>
          </cell>
          <cell r="C24">
            <v>1299.9454354901302</v>
          </cell>
        </row>
        <row r="25">
          <cell r="A25" t="str">
            <v>Australian National Audit Office</v>
          </cell>
          <cell r="C25">
            <v>0</v>
          </cell>
        </row>
        <row r="26">
          <cell r="A26" t="str">
            <v>Australian Office of Financial Management</v>
          </cell>
          <cell r="C26">
            <v>2227.4535974977002</v>
          </cell>
        </row>
        <row r="27">
          <cell r="A27" t="str">
            <v>Australian Pesticides and Veterinary Medicines Authority</v>
          </cell>
          <cell r="C27">
            <v>1637.94533108778</v>
          </cell>
        </row>
        <row r="28">
          <cell r="A28" t="str">
            <v>Australian Prudential Regulation Authority</v>
          </cell>
          <cell r="C28">
            <v>4960.8600647891999</v>
          </cell>
        </row>
        <row r="29">
          <cell r="A29" t="str">
            <v>Australian Public Service Commission</v>
          </cell>
          <cell r="C29">
            <v>0</v>
          </cell>
        </row>
        <row r="30">
          <cell r="A30" t="str">
            <v>Australian Radiation Protection and Nuclear Safety Agency</v>
          </cell>
          <cell r="C30">
            <v>0</v>
          </cell>
        </row>
        <row r="31">
          <cell r="A31" t="str">
            <v>Australian Reinsurance Pool Corporation</v>
          </cell>
          <cell r="C31">
            <v>0</v>
          </cell>
        </row>
        <row r="32">
          <cell r="A32" t="str">
            <v>Australian Research Council</v>
          </cell>
          <cell r="C32">
            <v>0</v>
          </cell>
        </row>
        <row r="33">
          <cell r="A33" t="str">
            <v>Australian Securities and Investments Commission</v>
          </cell>
          <cell r="C33">
            <v>72378.592562516496</v>
          </cell>
        </row>
        <row r="34">
          <cell r="A34" t="str">
            <v>Australian Skills Quality Authority</v>
          </cell>
          <cell r="C34">
            <v>0</v>
          </cell>
        </row>
        <row r="35">
          <cell r="A35" t="str">
            <v>Australian Taxation Office</v>
          </cell>
          <cell r="C35">
            <v>33684.36</v>
          </cell>
        </row>
        <row r="36">
          <cell r="A36" t="str">
            <v>Australian Trade and Investment Commission (Austrade)</v>
          </cell>
          <cell r="C36">
            <v>2410.7126772898</v>
          </cell>
        </row>
        <row r="37">
          <cell r="A37" t="str">
            <v>Australian Transaction Reports and Analysis Centre</v>
          </cell>
          <cell r="C37">
            <v>572.06804998589996</v>
          </cell>
        </row>
        <row r="38">
          <cell r="A38" t="str">
            <v>Australian Transport Safety Bureau</v>
          </cell>
          <cell r="C38">
            <v>0</v>
          </cell>
        </row>
        <row r="39">
          <cell r="A39" t="str">
            <v>Australian War Memorial</v>
          </cell>
          <cell r="C39">
            <v>0</v>
          </cell>
        </row>
        <row r="40">
          <cell r="A40" t="str">
            <v>Bureau of Meteorology</v>
          </cell>
          <cell r="C40">
            <v>0</v>
          </cell>
        </row>
        <row r="41">
          <cell r="A41" t="str">
            <v>Cancer Australia</v>
          </cell>
          <cell r="C41">
            <v>0</v>
          </cell>
        </row>
        <row r="42">
          <cell r="A42" t="str">
            <v>Clean Energy Regulator</v>
          </cell>
          <cell r="C42">
            <v>1389.5483859231001</v>
          </cell>
        </row>
        <row r="43">
          <cell r="A43" t="str">
            <v>Climate Change Authority</v>
          </cell>
          <cell r="C43">
            <v>0</v>
          </cell>
        </row>
        <row r="44">
          <cell r="A44" t="str">
            <v>Comcare</v>
          </cell>
          <cell r="C44">
            <v>29219.87812813498</v>
          </cell>
        </row>
        <row r="45">
          <cell r="A45" t="str">
            <v>Commonwealth Grants Commission</v>
          </cell>
          <cell r="C45">
            <v>0</v>
          </cell>
        </row>
        <row r="46">
          <cell r="A46" t="str">
            <v>Defence Housing Australia</v>
          </cell>
          <cell r="C46">
            <v>7824.5717161491884</v>
          </cell>
        </row>
        <row r="47">
          <cell r="A47" t="str">
            <v>Department of Agriculture, Fisheries and Forestry</v>
          </cell>
          <cell r="B47" t="str">
            <v>MOG</v>
          </cell>
          <cell r="C47">
            <v>14883.617545435665</v>
          </cell>
        </row>
        <row r="48">
          <cell r="A48" t="str">
            <v>Department of Climate Change, Energy, the Environment and Water</v>
          </cell>
          <cell r="B48" t="str">
            <v>MOG</v>
          </cell>
          <cell r="C48">
            <v>32689.711602931697</v>
          </cell>
        </row>
        <row r="49">
          <cell r="A49" t="str">
            <v>Department of Defence</v>
          </cell>
          <cell r="C49">
            <v>201261.76265004941</v>
          </cell>
        </row>
        <row r="50">
          <cell r="A50" t="str">
            <v>Department of Education</v>
          </cell>
          <cell r="B50" t="str">
            <v>MOG</v>
          </cell>
          <cell r="C50">
            <v>6286.3369295229359</v>
          </cell>
        </row>
        <row r="51">
          <cell r="A51" t="str">
            <v>Department of Employment and Workplace Relations</v>
          </cell>
          <cell r="B51" t="str">
            <v>MOG</v>
          </cell>
          <cell r="C51">
            <v>15960.91602205169</v>
          </cell>
        </row>
        <row r="52">
          <cell r="A52" t="str">
            <v>Department of Finance</v>
          </cell>
          <cell r="B52" t="str">
            <v>MOG</v>
          </cell>
          <cell r="C52">
            <v>58300.426557198931</v>
          </cell>
        </row>
        <row r="53">
          <cell r="A53" t="str">
            <v>Department of Foreign Affairs and Trade</v>
          </cell>
          <cell r="B53" t="str">
            <v>MOG</v>
          </cell>
          <cell r="C53">
            <v>15861.3760474754</v>
          </cell>
        </row>
        <row r="54">
          <cell r="A54" t="str">
            <v>Department of Health and Aged Care</v>
          </cell>
          <cell r="C54">
            <v>61007.689434697197</v>
          </cell>
        </row>
        <row r="55">
          <cell r="A55" t="str">
            <v>Department of Home Affairs</v>
          </cell>
          <cell r="B55" t="str">
            <v>MOG</v>
          </cell>
          <cell r="C55">
            <v>186518.66974676747</v>
          </cell>
        </row>
        <row r="56">
          <cell r="A56" t="str">
            <v>Department of Industry, Science, Energy and Resources</v>
          </cell>
          <cell r="B56" t="str">
            <v>MOG</v>
          </cell>
          <cell r="C56">
            <v>33830.121480968533</v>
          </cell>
        </row>
        <row r="57">
          <cell r="A57" t="str">
            <v>Department of Infrastructure, Transport, Regional Development and Communications</v>
          </cell>
          <cell r="B57" t="str">
            <v>MOG</v>
          </cell>
          <cell r="C57">
            <v>7752.5495464523374</v>
          </cell>
        </row>
        <row r="58">
          <cell r="A58" t="str">
            <v>Department of Parliamentary Services</v>
          </cell>
          <cell r="C58">
            <v>905.39264887629997</v>
          </cell>
        </row>
        <row r="59">
          <cell r="A59" t="str">
            <v>Department of Social Services</v>
          </cell>
          <cell r="C59">
            <v>15494.9666643694</v>
          </cell>
        </row>
        <row r="60">
          <cell r="A60" t="str">
            <v>Department of the House of Representatives</v>
          </cell>
          <cell r="C60">
            <v>0</v>
          </cell>
        </row>
        <row r="61">
          <cell r="A61" t="str">
            <v>Department of the Prime Minister and Cabinet</v>
          </cell>
          <cell r="B61" t="str">
            <v>MOG</v>
          </cell>
          <cell r="C61">
            <v>1040.4524528069101</v>
          </cell>
        </row>
        <row r="62">
          <cell r="A62" t="str">
            <v>Department of the Senate</v>
          </cell>
          <cell r="C62">
            <v>0</v>
          </cell>
        </row>
        <row r="63">
          <cell r="A63" t="str">
            <v>Department of the Treasury</v>
          </cell>
          <cell r="C63">
            <v>5687.7003084109001</v>
          </cell>
        </row>
        <row r="64">
          <cell r="A64" t="str">
            <v>Department of Veterans' Affairs</v>
          </cell>
          <cell r="C64">
            <v>22072.425094770701</v>
          </cell>
        </row>
        <row r="65">
          <cell r="A65" t="str">
            <v>Digital Transformation Agency</v>
          </cell>
          <cell r="C65">
            <v>15604.0318186077</v>
          </cell>
        </row>
        <row r="66">
          <cell r="A66" t="str">
            <v>Director of National Parks</v>
          </cell>
          <cell r="C66">
            <v>4798.5768553336902</v>
          </cell>
        </row>
        <row r="67">
          <cell r="A67" t="str">
            <v>Fair Work Commission</v>
          </cell>
          <cell r="C67">
            <v>0</v>
          </cell>
        </row>
        <row r="68">
          <cell r="A68" t="str">
            <v>Fair Work Ombudsman</v>
          </cell>
          <cell r="C68">
            <v>5909.9139185307004</v>
          </cell>
        </row>
        <row r="69">
          <cell r="A69" t="str">
            <v>Federal Court of Australia</v>
          </cell>
          <cell r="C69">
            <v>761.83279991649999</v>
          </cell>
        </row>
        <row r="70">
          <cell r="A70" t="str">
            <v>Food Standards Australia New Zealand</v>
          </cell>
          <cell r="C70">
            <v>0</v>
          </cell>
        </row>
        <row r="71">
          <cell r="A71" t="str">
            <v>Future Fund Management Agency</v>
          </cell>
          <cell r="C71">
            <v>2291.5898825286999</v>
          </cell>
        </row>
        <row r="72">
          <cell r="A72" t="str">
            <v>Geoscience Australia</v>
          </cell>
          <cell r="C72">
            <v>2964.6108717055999</v>
          </cell>
        </row>
        <row r="73">
          <cell r="A73" t="str">
            <v>Great Barrier Reef Marine Park Authority</v>
          </cell>
          <cell r="C73">
            <v>2047.5163840014</v>
          </cell>
        </row>
        <row r="74">
          <cell r="A74" t="str">
            <v>Independent Hospital Pricing Authority</v>
          </cell>
          <cell r="C74">
            <v>0</v>
          </cell>
        </row>
        <row r="75">
          <cell r="A75" t="str">
            <v>Independent Parliamentary Expenses Authority</v>
          </cell>
          <cell r="C75">
            <v>0</v>
          </cell>
        </row>
        <row r="76">
          <cell r="A76" t="str">
            <v>Inspector-General of Taxation</v>
          </cell>
          <cell r="C76">
            <v>0</v>
          </cell>
        </row>
        <row r="77">
          <cell r="A77" t="str">
            <v>IP Australia</v>
          </cell>
          <cell r="C77">
            <v>1363.2914175699</v>
          </cell>
        </row>
        <row r="78">
          <cell r="A78" t="str">
            <v>Murray-Darling Basin Authority</v>
          </cell>
          <cell r="C78">
            <v>1171.6854165602301</v>
          </cell>
        </row>
        <row r="79">
          <cell r="A79" t="str">
            <v>National Archives of Australia</v>
          </cell>
          <cell r="C79">
            <v>0</v>
          </cell>
        </row>
        <row r="80">
          <cell r="A80" t="str">
            <v>National Blood Authority</v>
          </cell>
          <cell r="C80">
            <v>1049.7181168942</v>
          </cell>
        </row>
        <row r="81">
          <cell r="A81" t="str">
            <v>National Capital Authority</v>
          </cell>
          <cell r="C81">
            <v>1737.9259759121001</v>
          </cell>
        </row>
        <row r="82">
          <cell r="A82" t="str">
            <v>National Competition Council</v>
          </cell>
          <cell r="C82">
            <v>0</v>
          </cell>
        </row>
        <row r="83">
          <cell r="A83" t="str">
            <v>National Disability Insurance Agency</v>
          </cell>
          <cell r="C83">
            <v>76561.971912629058</v>
          </cell>
        </row>
        <row r="84">
          <cell r="A84" t="str">
            <v>National Emergency Management Agency</v>
          </cell>
          <cell r="B84" t="str">
            <v>MOG</v>
          </cell>
          <cell r="C84">
            <v>0</v>
          </cell>
        </row>
        <row r="85">
          <cell r="A85" t="str">
            <v>National Faster Rail Agency</v>
          </cell>
          <cell r="C85">
            <v>0</v>
          </cell>
        </row>
        <row r="86">
          <cell r="A86" t="str">
            <v>National Gallery of Australia</v>
          </cell>
          <cell r="C86">
            <v>883.90343723682008</v>
          </cell>
        </row>
        <row r="87">
          <cell r="A87" t="str">
            <v>National Health and Medical Research Council</v>
          </cell>
          <cell r="C87">
            <v>0</v>
          </cell>
        </row>
        <row r="88">
          <cell r="A88" t="str">
            <v>National Health Funding Body</v>
          </cell>
          <cell r="C88">
            <v>0</v>
          </cell>
        </row>
        <row r="89">
          <cell r="A89" t="str">
            <v>National Indigenous Australians Agency</v>
          </cell>
          <cell r="C89">
            <v>3234.0334733641998</v>
          </cell>
        </row>
        <row r="90">
          <cell r="A90" t="str">
            <v>National Library of Australia</v>
          </cell>
          <cell r="C90">
            <v>594.93202896139996</v>
          </cell>
        </row>
        <row r="91">
          <cell r="A91" t="str">
            <v>National Mental Health Commission</v>
          </cell>
          <cell r="C91">
            <v>0</v>
          </cell>
        </row>
        <row r="92">
          <cell r="A92" t="str">
            <v>National Offshore Petroleum Safety and Environmental Management Authority</v>
          </cell>
          <cell r="C92">
            <v>0</v>
          </cell>
        </row>
        <row r="93">
          <cell r="A93" t="str">
            <v>NDIS Quality and Safeguards Commission</v>
          </cell>
          <cell r="C93">
            <v>1232.2827007101</v>
          </cell>
        </row>
        <row r="94">
          <cell r="A94" t="str">
            <v>North Queensland Water Infrastructure Authority</v>
          </cell>
          <cell r="C94">
            <v>0</v>
          </cell>
        </row>
        <row r="95">
          <cell r="A95" t="str">
            <v>Office of Parliamentary Counsel</v>
          </cell>
          <cell r="C95">
            <v>0</v>
          </cell>
        </row>
        <row r="96">
          <cell r="A96" t="str">
            <v>Office of the Auditing and Assurance Standards Board</v>
          </cell>
          <cell r="C96">
            <v>0</v>
          </cell>
        </row>
        <row r="97">
          <cell r="A97" t="str">
            <v>Office of the Australian Accounting Standards Board</v>
          </cell>
          <cell r="C97">
            <v>0</v>
          </cell>
        </row>
        <row r="98">
          <cell r="A98" t="str">
            <v>Office of the Australian Information Commissioner</v>
          </cell>
          <cell r="C98">
            <v>1974.5859390789999</v>
          </cell>
        </row>
        <row r="99">
          <cell r="A99" t="str">
            <v>Office of the Commonwealth Ombudsman</v>
          </cell>
          <cell r="C99">
            <v>0</v>
          </cell>
        </row>
        <row r="100">
          <cell r="A100" t="str">
            <v>Office of the Director of Public Prosecutions</v>
          </cell>
          <cell r="C100">
            <v>0</v>
          </cell>
        </row>
        <row r="101">
          <cell r="A101" t="str">
            <v>Office of the Inspector-General of Intelligence and Security</v>
          </cell>
          <cell r="C101">
            <v>0</v>
          </cell>
        </row>
        <row r="102">
          <cell r="A102" t="str">
            <v>Office of the Official Secretary to the Governor-General</v>
          </cell>
          <cell r="C102">
            <v>0</v>
          </cell>
        </row>
        <row r="103">
          <cell r="A103" t="str">
            <v>Office of the Special Investigator</v>
          </cell>
          <cell r="C103">
            <v>0</v>
          </cell>
        </row>
        <row r="104">
          <cell r="A104" t="str">
            <v>Organ and Tissue Authority</v>
          </cell>
          <cell r="C104">
            <v>0</v>
          </cell>
        </row>
        <row r="105">
          <cell r="A105" t="str">
            <v>Parliamentary Budget Office</v>
          </cell>
          <cell r="C105">
            <v>0</v>
          </cell>
        </row>
        <row r="106">
          <cell r="A106" t="str">
            <v>Productivity Commission</v>
          </cell>
          <cell r="C106">
            <v>0</v>
          </cell>
        </row>
        <row r="107">
          <cell r="A107" t="str">
            <v>Professional Services Review</v>
          </cell>
          <cell r="C107">
            <v>2007.1226571929001</v>
          </cell>
        </row>
        <row r="108">
          <cell r="A108" t="str">
            <v>Regional Investment Corporation</v>
          </cell>
          <cell r="C108">
            <v>2477.0198898030299</v>
          </cell>
        </row>
        <row r="109">
          <cell r="A109" t="str">
            <v>Registered Organisations Commission Entity</v>
          </cell>
          <cell r="C109">
            <v>0</v>
          </cell>
        </row>
        <row r="110">
          <cell r="A110" t="str">
            <v>Royal Australian Mint</v>
          </cell>
          <cell r="C110">
            <v>0</v>
          </cell>
        </row>
        <row r="111">
          <cell r="A111" t="str">
            <v>Safe Work Australia</v>
          </cell>
          <cell r="C111">
            <v>0</v>
          </cell>
        </row>
        <row r="112">
          <cell r="A112" t="str">
            <v>Seafarers Safety, Rehabilitation and Compensation Authority (Seacare Authority)</v>
          </cell>
          <cell r="C112">
            <v>0</v>
          </cell>
        </row>
        <row r="113">
          <cell r="A113" t="str">
            <v>Services Australia</v>
          </cell>
          <cell r="C113">
            <v>70086.801861874206</v>
          </cell>
        </row>
        <row r="114">
          <cell r="A114" t="str">
            <v>Sport Integrity Australia</v>
          </cell>
          <cell r="C114">
            <v>0</v>
          </cell>
        </row>
        <row r="115">
          <cell r="A115" t="str">
            <v>Tertiary Education Quality and Standards Agency</v>
          </cell>
          <cell r="C115">
            <v>0</v>
          </cell>
        </row>
        <row r="116">
          <cell r="A116" t="str">
            <v>Workplace Gender Equality Agency</v>
          </cell>
          <cell r="C116">
            <v>0</v>
          </cell>
        </row>
        <row r="117">
          <cell r="A117" t="str">
            <v>WSA Co Limited</v>
          </cell>
          <cell r="C117">
            <v>23747.874045315421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
      <sheetName val="Summary"/>
      <sheetName val="Formulas"/>
      <sheetName val="Text"/>
      <sheetName val="Agency reporting template"/>
      <sheetName val="A - Professional Fees"/>
      <sheetName val="List of Law Firms"/>
    </sheetNames>
    <sheetDataSet>
      <sheetData sheetId="0">
        <row r="34">
          <cell r="C34">
            <v>5644130</v>
          </cell>
        </row>
        <row r="407">
          <cell r="B407" t="str">
            <v>Entry Form complete</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_of_Law_Firms" displayName="List_of_Law_Firms" ref="A1:A63" totalsRowShown="0" headerRowDxfId="2" dataDxfId="1">
  <tableColumns count="1">
    <tableColumn id="1" xr3:uid="{00000000-0010-0000-0000-000001000000}" name="LSP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07"/>
  <sheetViews>
    <sheetView showGridLines="0" tabSelected="1" topLeftCell="B1" zoomScale="85" zoomScaleNormal="85" workbookViewId="0">
      <selection activeCell="C88" sqref="C88"/>
    </sheetView>
  </sheetViews>
  <sheetFormatPr defaultColWidth="9.1796875" defaultRowHeight="24.5" x14ac:dyDescent="0.45"/>
  <cols>
    <col min="1" max="1" width="33.7265625" style="124" customWidth="1"/>
    <col min="2" max="2" width="100.7265625" style="124" customWidth="1"/>
    <col min="3" max="3" width="33.7265625" style="202" customWidth="1"/>
    <col min="4" max="4" width="9" style="123" customWidth="1"/>
    <col min="5" max="5" width="8.7265625" style="123" hidden="1" customWidth="1"/>
    <col min="6" max="7" width="9.1796875" style="124" hidden="1" customWidth="1"/>
    <col min="8" max="8" width="9.1796875" style="124"/>
    <col min="9" max="9" width="42.1796875" style="124" customWidth="1"/>
    <col min="10" max="16384" width="9.1796875" style="124"/>
  </cols>
  <sheetData>
    <row r="1" spans="1:7" ht="44.25" customHeight="1" x14ac:dyDescent="0.55000000000000004">
      <c r="A1" s="173"/>
      <c r="B1" s="174" t="s">
        <v>731</v>
      </c>
      <c r="C1" s="175"/>
    </row>
    <row r="2" spans="1:7" ht="36.75" customHeight="1" thickBot="1" x14ac:dyDescent="0.5">
      <c r="A2" s="176"/>
      <c r="B2" s="147" t="s">
        <v>657</v>
      </c>
      <c r="C2" s="177"/>
    </row>
    <row r="3" spans="1:7" ht="95.25" customHeight="1" thickTop="1" x14ac:dyDescent="0.45">
      <c r="A3" s="226" t="str">
        <f>Text!A4</f>
        <v>What is this section?</v>
      </c>
      <c r="B3" s="135" t="str">
        <f>Text!B4</f>
        <v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v>
      </c>
      <c r="C3" s="178"/>
    </row>
    <row r="4" spans="1:7" ht="93.75" customHeight="1" x14ac:dyDescent="0.45">
      <c r="A4" s="215" t="str">
        <f>Text!A5</f>
        <v>What if the entity name or ABN is incorrect?</v>
      </c>
      <c r="B4" s="135"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179"/>
    </row>
    <row r="5" spans="1:7" ht="32.15" customHeight="1" thickBot="1" x14ac:dyDescent="0.5">
      <c r="A5" s="215"/>
      <c r="B5" s="180"/>
      <c r="C5" s="179"/>
    </row>
    <row r="6" spans="1:7" ht="54" customHeight="1" thickTop="1" thickBot="1" x14ac:dyDescent="0.5">
      <c r="A6" s="215"/>
      <c r="B6" s="181" t="s">
        <v>658</v>
      </c>
      <c r="C6" s="117" t="s">
        <v>227</v>
      </c>
      <c r="D6" s="182" t="str">
        <f>IF(AND($C$9="",C6=""),"E",IF(AND($C$9="",C6&lt;&gt;""),"",IF(NOT(ISNUMBER(MATCH(C6,agencyname,0))),"D",IF(AND($C$9="check",C6&lt;&gt;""),"C","D"))))</f>
        <v>C</v>
      </c>
      <c r="F6" s="124" t="s">
        <v>612</v>
      </c>
      <c r="G6" s="124" t="s">
        <v>612</v>
      </c>
    </row>
    <row r="7" spans="1:7" ht="25.5" thickTop="1" thickBot="1" x14ac:dyDescent="0.5">
      <c r="A7" s="215"/>
      <c r="B7" s="183" t="s">
        <v>132</v>
      </c>
      <c r="C7" s="112" t="str">
        <f>IF(ISNUMBER(MATCH(C6,agencyname,0)),INDEX(abnumber,MATCH(C6,agencyname,0)),"")</f>
        <v>11 259 448 410</v>
      </c>
      <c r="D7" s="123" t="str">
        <f>IF($C$9="","",IF(AND($C$9="check",C7&lt;&gt;""),"C","D"))</f>
        <v>C</v>
      </c>
      <c r="F7" s="124" t="s">
        <v>612</v>
      </c>
      <c r="G7" s="124" t="s">
        <v>611</v>
      </c>
    </row>
    <row r="8" spans="1:7" ht="25.5" thickTop="1" thickBot="1" x14ac:dyDescent="0.5">
      <c r="A8" s="215"/>
      <c r="B8" s="134"/>
      <c r="C8" s="184"/>
      <c r="F8" s="124" t="s">
        <v>490</v>
      </c>
      <c r="G8" s="124" t="s">
        <v>490</v>
      </c>
    </row>
    <row r="9" spans="1:7" ht="25.5" thickTop="1" thickBot="1" x14ac:dyDescent="0.5">
      <c r="A9" s="215"/>
      <c r="B9" s="236" t="s">
        <v>556</v>
      </c>
      <c r="C9" s="113" t="s">
        <v>555</v>
      </c>
      <c r="D9" s="123" t="str">
        <f>IF(AND(C6&lt;&gt;"",C7&lt;&gt;"",C9&lt;&gt;"Check"),"E","")</f>
        <v/>
      </c>
      <c r="E9" s="123" t="str">
        <f>IF(B9="Check details to proceed","O","")</f>
        <v>O</v>
      </c>
      <c r="F9" s="124" t="s">
        <v>612</v>
      </c>
      <c r="G9" s="124" t="s">
        <v>606</v>
      </c>
    </row>
    <row r="10" spans="1:7" ht="25.5" thickTop="1" thickBot="1" x14ac:dyDescent="0.5">
      <c r="A10" s="227"/>
      <c r="B10" s="185"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186"/>
      <c r="F10" s="124" t="s">
        <v>490</v>
      </c>
      <c r="G10" s="124" t="s">
        <v>490</v>
      </c>
    </row>
    <row r="11" spans="1:7" ht="37.5" customHeight="1" thickTop="1" thickBot="1" x14ac:dyDescent="0.5">
      <c r="A11" s="228"/>
      <c r="B11" s="147" t="s">
        <v>109</v>
      </c>
      <c r="C11" s="187"/>
      <c r="F11" s="124" t="s">
        <v>490</v>
      </c>
      <c r="G11" s="124" t="s">
        <v>490</v>
      </c>
    </row>
    <row r="12" spans="1:7" ht="176.25" customHeight="1" thickTop="1" x14ac:dyDescent="0.45">
      <c r="A12" s="215" t="str">
        <f>Text!A12</f>
        <v>How to use this template</v>
      </c>
      <c r="B12" s="135" t="str">
        <f>Text!B12</f>
        <v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v>
      </c>
      <c r="C12" s="178"/>
      <c r="F12" s="124" t="s">
        <v>490</v>
      </c>
      <c r="G12" s="124" t="s">
        <v>490</v>
      </c>
    </row>
    <row r="13" spans="1:7" ht="65.25" customHeight="1" x14ac:dyDescent="0.45">
      <c r="A13" s="215" t="str">
        <f>Text!A13</f>
        <v>What is section 1?</v>
      </c>
      <c r="B13" s="135" t="str">
        <f>Text!B13</f>
        <v xml:space="preserve">
In section 1 you are required to report the total value of your entity's internal legal services expenditure for 2022-23.
</v>
      </c>
      <c r="C13" s="178"/>
    </row>
    <row r="14" spans="1:7" ht="57.75" customHeight="1" x14ac:dyDescent="0.45">
      <c r="A14" s="215" t="str">
        <f>Text!A14</f>
        <v>What is section 2?</v>
      </c>
      <c r="B14" s="135" t="str">
        <f>Text!B14</f>
        <v xml:space="preserve">
In section 2 you are required to report the details of your entity's briefs to counsel.
</v>
      </c>
      <c r="C14" s="178"/>
    </row>
    <row r="15" spans="1:7" ht="60" customHeight="1" x14ac:dyDescent="0.45">
      <c r="A15" s="215" t="str">
        <f>Text!A15</f>
        <v>What is section 3?</v>
      </c>
      <c r="B15" s="135" t="str">
        <f>Text!B15</f>
        <v xml:space="preserve">
In section 3 you are required to report total value of your entity’s expenditure on disbursements. 
</v>
      </c>
      <c r="C15" s="178"/>
    </row>
    <row r="16" spans="1:7" ht="62.25" customHeight="1" x14ac:dyDescent="0.45">
      <c r="A16" s="215" t="str">
        <f>Text!A16</f>
        <v>What is section 4?</v>
      </c>
      <c r="B16" s="135" t="str">
        <f>Text!B16</f>
        <v xml:space="preserve">
In section 4 you are required to report information about your entity's use of legal services panels.
</v>
      </c>
      <c r="C16" s="178"/>
    </row>
    <row r="17" spans="1:7" ht="67.5" customHeight="1" x14ac:dyDescent="0.45">
      <c r="A17" s="215" t="str">
        <f>Text!A17</f>
        <v>What is section 5?</v>
      </c>
      <c r="B17" s="135" t="str">
        <f>Text!B17</f>
        <v xml:space="preserve">
In section 5 you are required to report on your entity's expenditure on professional fees.
</v>
      </c>
      <c r="C17" s="178"/>
    </row>
    <row r="18" spans="1:7" ht="169.5" customHeight="1" x14ac:dyDescent="0.45">
      <c r="A18" s="215" t="str">
        <f>Text!A18</f>
        <v>What is the Summary sheet?</v>
      </c>
      <c r="B18" s="135"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v>
      </c>
      <c r="C18" s="178"/>
    </row>
    <row r="19" spans="1:7" ht="186.75" customHeight="1" x14ac:dyDescent="0.45">
      <c r="A19" s="215" t="str">
        <f>Text!A19</f>
        <v>How should information be reported?</v>
      </c>
      <c r="B19" s="135"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179"/>
      <c r="F19" s="124" t="s">
        <v>490</v>
      </c>
      <c r="G19" s="124" t="s">
        <v>490</v>
      </c>
    </row>
    <row r="20" spans="1:7" ht="79.5" customHeight="1" x14ac:dyDescent="0.45">
      <c r="A20" s="215" t="str">
        <f>Text!A20</f>
        <v>How do I submit a completed template?</v>
      </c>
      <c r="B20" s="135" t="str">
        <f>Text!B20</f>
        <v xml:space="preserve">
The completed template is to be returned to OLSC within 60 days after the end of the financial year (29 August 2023). Please email a copy to LSER@ag.gov.au. If your entity is not able to meet this deadline please email LSER@ag.gov.au as early as possible.
</v>
      </c>
      <c r="C20" s="179"/>
      <c r="F20" s="124" t="s">
        <v>490</v>
      </c>
      <c r="G20" s="124" t="s">
        <v>490</v>
      </c>
    </row>
    <row r="21" spans="1:7" ht="69.75" customHeight="1" x14ac:dyDescent="0.45">
      <c r="A21" s="215" t="str">
        <f>Text!A21</f>
        <v>A reminder of further obligations</v>
      </c>
      <c r="B21" s="135" t="str">
        <f>Text!B21</f>
        <v xml:space="preserve">
In addition to completing this template, all non-corporate Commonwealth entities are required to publish their legal services expenditure by 30 October.
</v>
      </c>
      <c r="C21" s="179"/>
      <c r="F21" s="124" t="s">
        <v>490</v>
      </c>
      <c r="G21" s="124" t="s">
        <v>490</v>
      </c>
    </row>
    <row r="22" spans="1:7" ht="68.25" customHeight="1" x14ac:dyDescent="0.45">
      <c r="A22" s="215" t="str">
        <f>Text!A22</f>
        <v>Need further assistance?</v>
      </c>
      <c r="B22" s="135" t="str">
        <f>Text!B22</f>
        <v xml:space="preserve">
If you require further assistance to complete this template please get in touch with OLSC:
Phone: (02) 6141 3642
Email: LSER@ag.gov.au
</v>
      </c>
      <c r="C22" s="179"/>
      <c r="F22" s="124" t="s">
        <v>490</v>
      </c>
      <c r="G22" s="124" t="s">
        <v>490</v>
      </c>
    </row>
    <row r="23" spans="1:7" ht="24" customHeight="1" thickBot="1" x14ac:dyDescent="0.5">
      <c r="A23" s="215"/>
      <c r="B23" s="180"/>
      <c r="C23" s="179"/>
      <c r="F23" s="124" t="s">
        <v>490</v>
      </c>
      <c r="G23" s="124" t="s">
        <v>490</v>
      </c>
    </row>
    <row r="24" spans="1:7" ht="25.5" thickTop="1" thickBot="1" x14ac:dyDescent="0.5">
      <c r="A24" s="229"/>
      <c r="B24" s="236" t="str">
        <f>Text!B24</f>
        <v>Please confirm that you have read and understood the Template Guidance</v>
      </c>
      <c r="C24" s="113" t="s">
        <v>141</v>
      </c>
      <c r="D24" s="123" t="str">
        <f>IF(AND(B10="Proceed below",C24=""),"E","")</f>
        <v/>
      </c>
      <c r="E24" s="123" t="str">
        <f>IF(B24=Text!B24,"E","")</f>
        <v>E</v>
      </c>
      <c r="F24" s="124" t="s">
        <v>612</v>
      </c>
      <c r="G24" s="124" t="s">
        <v>605</v>
      </c>
    </row>
    <row r="25" spans="1:7" ht="25.5" thickTop="1" thickBot="1" x14ac:dyDescent="0.5">
      <c r="A25" s="227"/>
      <c r="B25" s="189" t="str">
        <f>IF($B$10&lt;&gt;"Proceed below","Please enter entity details above",IF($C$24="","Read the Guidance then select 'Yes' or 'No' from the drop down list",IF($C$24="Yes","Proceed below","Please contact OLSC for assistance")))</f>
        <v>Proceed below</v>
      </c>
      <c r="C25" s="190"/>
      <c r="F25" s="124" t="s">
        <v>490</v>
      </c>
      <c r="G25" s="124" t="s">
        <v>490</v>
      </c>
    </row>
    <row r="26" spans="1:7" ht="39" customHeight="1" thickTop="1" thickBot="1" x14ac:dyDescent="0.5">
      <c r="A26" s="228" t="s">
        <v>143</v>
      </c>
      <c r="B26" s="147" t="s">
        <v>155</v>
      </c>
      <c r="C26" s="177"/>
      <c r="F26" s="124" t="s">
        <v>490</v>
      </c>
      <c r="G26" s="124" t="s">
        <v>490</v>
      </c>
    </row>
    <row r="27" spans="1:7" ht="59.25" customHeight="1" thickTop="1" x14ac:dyDescent="0.45">
      <c r="A27" s="215" t="str">
        <f>Text!A27</f>
        <v>What is this section?</v>
      </c>
      <c r="B27" s="191" t="str">
        <f>Text!B27</f>
        <v xml:space="preserve">
In this section you are required to report the total value of your entity's internal legal services expenditure for 2022-23.
</v>
      </c>
      <c r="C27" s="179"/>
      <c r="F27" s="124" t="s">
        <v>490</v>
      </c>
      <c r="G27" s="124" t="s">
        <v>490</v>
      </c>
    </row>
    <row r="28" spans="1:7" ht="84.75" customHeight="1" x14ac:dyDescent="0.45">
      <c r="A28" s="215" t="str">
        <f>Text!A28</f>
        <v>What is internal legal services expenditure?</v>
      </c>
      <c r="B28" s="191"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179"/>
      <c r="F28" s="124" t="s">
        <v>490</v>
      </c>
      <c r="G28" s="124" t="s">
        <v>490</v>
      </c>
    </row>
    <row r="29" spans="1:7" ht="63" customHeight="1" x14ac:dyDescent="0.45">
      <c r="A29" s="215" t="str">
        <f>Text!A29</f>
        <v>How is internal legal services expenditure reported?</v>
      </c>
      <c r="B29" s="191" t="str">
        <f>Text!B29</f>
        <v xml:space="preserve">
Only enter whole dollar amount. Figures including cents will not be accepted. If there was no expenditure, enter '0' for a total value of $0.
</v>
      </c>
      <c r="C29" s="179"/>
      <c r="F29" s="124" t="s">
        <v>490</v>
      </c>
      <c r="G29" s="124" t="s">
        <v>490</v>
      </c>
    </row>
    <row r="30" spans="1:7" ht="27" customHeight="1" thickBot="1" x14ac:dyDescent="0.5">
      <c r="A30" s="215"/>
      <c r="B30" s="154"/>
      <c r="C30" s="179"/>
      <c r="F30" s="124" t="s">
        <v>490</v>
      </c>
      <c r="G30" s="124" t="s">
        <v>490</v>
      </c>
    </row>
    <row r="31" spans="1:7" ht="25.5" thickTop="1" thickBot="1" x14ac:dyDescent="0.5">
      <c r="A31" s="215"/>
      <c r="B31" s="237" t="str">
        <f>IF($B25&lt;&gt;"Proceed below","",Text!B31)</f>
        <v>Please confirm that you have read and understood the Internal Legal Services Expenditure explainer</v>
      </c>
      <c r="C31" s="113" t="s">
        <v>141</v>
      </c>
      <c r="D31" s="123" t="str">
        <f>IF(AND(B25="Proceed below",C31=""),"E","")</f>
        <v/>
      </c>
      <c r="E31" s="123" t="str">
        <f>IF(B31=Text!B31,"E","")</f>
        <v>E</v>
      </c>
      <c r="F31" s="124" t="s">
        <v>612</v>
      </c>
      <c r="G31" s="124" t="s">
        <v>605</v>
      </c>
    </row>
    <row r="32" spans="1:7" ht="25.5" thickTop="1" thickBot="1" x14ac:dyDescent="0.5">
      <c r="A32" s="227"/>
      <c r="B32" s="189" t="str">
        <f>IF($B$25&lt;&gt;"Proceed below","",IF($C$31="Yes","Proceed below",IF($C$31="No","Please contact OLSC for assistance","Read the explainer then select 'Yes' or 'No' from the drop down list")))</f>
        <v>Proceed below</v>
      </c>
      <c r="C32" s="190"/>
      <c r="F32" s="124" t="s">
        <v>490</v>
      </c>
      <c r="G32" s="124" t="s">
        <v>490</v>
      </c>
    </row>
    <row r="33" spans="1:7" ht="36.65" customHeight="1" thickTop="1" thickBot="1" x14ac:dyDescent="0.5">
      <c r="A33" s="228" t="s">
        <v>143</v>
      </c>
      <c r="B33" s="147" t="s">
        <v>156</v>
      </c>
      <c r="C33" s="177"/>
      <c r="F33" s="124" t="s">
        <v>490</v>
      </c>
      <c r="G33" s="124" t="s">
        <v>490</v>
      </c>
    </row>
    <row r="34" spans="1:7" ht="25.5" thickTop="1" thickBot="1" x14ac:dyDescent="0.5">
      <c r="A34" s="229"/>
      <c r="B34" s="183" t="str">
        <f>Text!B34</f>
        <v>Total value of internal legal services expenditure</v>
      </c>
      <c r="C34" s="257">
        <f>IF('[2]Entry Form'!$B$407&lt;&gt;"Entry form complete","",'[2]Entry Form'!$C$34)</f>
        <v>5644130</v>
      </c>
      <c r="D34" s="123" t="str">
        <f>IF($B$32&lt;&gt;"Proceed below","",IF(AND(C36&lt;&gt;"Check",C34=""),"E",IF(AND(C36&lt;&gt;"Check",C34&lt;&gt;""),"",IF(NOT(ISNUMBER(C34)),"D",IF(AND(INT(C34)=C34,C34&lt;&gt;"",C34&gt;=0),"C","D")))))</f>
        <v>C</v>
      </c>
      <c r="F34" s="124" t="s">
        <v>612</v>
      </c>
      <c r="G34" s="124" t="s">
        <v>490</v>
      </c>
    </row>
    <row r="35" spans="1:7" ht="25.5" thickTop="1" thickBot="1" x14ac:dyDescent="0.5">
      <c r="A35" s="229"/>
      <c r="B35" s="188"/>
      <c r="C35" s="192"/>
      <c r="F35" s="124" t="s">
        <v>490</v>
      </c>
      <c r="G35" s="124" t="s">
        <v>490</v>
      </c>
    </row>
    <row r="36" spans="1:7" ht="25.5" thickTop="1" thickBot="1" x14ac:dyDescent="0.5">
      <c r="A36" s="229"/>
      <c r="B36" s="236" t="str">
        <f>IF($B$32="Proceed below",Text!B36,"")</f>
        <v>Check details to proceed</v>
      </c>
      <c r="C36" s="113" t="s">
        <v>555</v>
      </c>
      <c r="D36" s="123" t="str">
        <f>IF(AND(B32="Proceed below",C34&lt;&gt;"",C36=""),"E","")</f>
        <v/>
      </c>
      <c r="E36" s="123" t="str">
        <f>IF(B36="Check details to proceed","O","")</f>
        <v>O</v>
      </c>
      <c r="F36" s="124" t="s">
        <v>612</v>
      </c>
      <c r="G36" s="124" t="s">
        <v>606</v>
      </c>
    </row>
    <row r="37" spans="1:7" ht="25.5" thickTop="1" thickBot="1" x14ac:dyDescent="0.5">
      <c r="A37" s="230"/>
      <c r="B37" s="189"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193"/>
      <c r="F37" s="124" t="s">
        <v>490</v>
      </c>
      <c r="G37" s="124" t="s">
        <v>490</v>
      </c>
    </row>
    <row r="38" spans="1:7" ht="43.5" customHeight="1" thickTop="1" thickBot="1" x14ac:dyDescent="0.5">
      <c r="A38" s="228" t="s">
        <v>144</v>
      </c>
      <c r="B38" s="147" t="s">
        <v>146</v>
      </c>
      <c r="C38" s="177"/>
      <c r="F38" s="124" t="s">
        <v>490</v>
      </c>
      <c r="G38" s="124" t="s">
        <v>490</v>
      </c>
    </row>
    <row r="39" spans="1:7" ht="115.5" customHeight="1" thickTop="1" x14ac:dyDescent="0.45">
      <c r="A39" s="215" t="str">
        <f>Text!A39</f>
        <v>What is this section?</v>
      </c>
      <c r="B39" s="191" t="str">
        <f>Text!B39</f>
        <v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v>
      </c>
      <c r="C39" s="179"/>
      <c r="F39" s="124" t="s">
        <v>490</v>
      </c>
      <c r="G39" s="124" t="s">
        <v>490</v>
      </c>
    </row>
    <row r="40" spans="1:7" ht="105.75" customHeight="1" x14ac:dyDescent="0.45">
      <c r="A40" s="215" t="str">
        <f>Text!A40</f>
        <v>What is the difference between senior and junior counsel?</v>
      </c>
      <c r="B40" s="191" t="str">
        <f>Text!B40</f>
        <v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v>
      </c>
      <c r="C40" s="179"/>
      <c r="F40" s="124" t="s">
        <v>490</v>
      </c>
      <c r="G40" s="124" t="s">
        <v>490</v>
      </c>
    </row>
    <row r="41" spans="1:7" ht="82.5" customHeight="1" x14ac:dyDescent="0.45">
      <c r="A41" s="215" t="str">
        <f>Text!A41</f>
        <v>What is the difference between direct and indirect briefing?</v>
      </c>
      <c r="B41" s="191" t="str">
        <f>Text!B41</f>
        <v xml:space="preserve">
Indirect briefing is when a legal services provider briefs counsel.
Direct briefing is when an entity briefs counsel directly, rather than through a legal services provider.
</v>
      </c>
      <c r="C41" s="179"/>
      <c r="F41" s="124" t="s">
        <v>490</v>
      </c>
      <c r="G41" s="124" t="s">
        <v>490</v>
      </c>
    </row>
    <row r="42" spans="1:7" ht="137.25" customHeight="1" x14ac:dyDescent="0.45">
      <c r="A42" s="215" t="str">
        <f>Text!A42</f>
        <v>How are briefs reported?</v>
      </c>
      <c r="B42" s="191" t="str">
        <f>Text!B42</f>
        <v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179"/>
      <c r="F42" s="124" t="s">
        <v>490</v>
      </c>
      <c r="G42" s="124" t="s">
        <v>490</v>
      </c>
    </row>
    <row r="43" spans="1:7" ht="31.5" customHeight="1" thickBot="1" x14ac:dyDescent="0.5">
      <c r="A43" s="215"/>
      <c r="B43" s="180"/>
      <c r="C43" s="179"/>
      <c r="F43" s="124" t="s">
        <v>490</v>
      </c>
      <c r="G43" s="124" t="s">
        <v>490</v>
      </c>
    </row>
    <row r="44" spans="1:7" ht="26.15" customHeight="1" thickTop="1" thickBot="1" x14ac:dyDescent="0.5">
      <c r="A44" s="215" t="str">
        <f>IF($B$37="Proceed to Section 2","How is the value of briefs reported?","")</f>
        <v/>
      </c>
      <c r="B44" s="236" t="str">
        <f>IF($B$37&lt;&gt;"Proceed below","",Text!B44)</f>
        <v>Please confirm you have read and understood the counsel briefs explainer</v>
      </c>
      <c r="C44" s="113" t="s">
        <v>141</v>
      </c>
      <c r="D44" s="123" t="str">
        <f>IF(AND(B37="Proceed below",C44=""),"E","")</f>
        <v/>
      </c>
      <c r="E44" s="123" t="str">
        <f>IF(B44=Text!B44,"E","")</f>
        <v>E</v>
      </c>
      <c r="F44" s="124" t="s">
        <v>612</v>
      </c>
      <c r="G44" s="124" t="s">
        <v>605</v>
      </c>
    </row>
    <row r="45" spans="1:7" ht="25.5" thickTop="1" thickBot="1" x14ac:dyDescent="0.5">
      <c r="A45" s="230"/>
      <c r="B45" s="189" t="str">
        <f>IF($B$37&lt;&gt;"Proceed below","",IF(C44="Yes","Proceed below",IF(C44="No","Please contact OLSC for assistance","Read the explainer then select 'Yes' or 'No' from the drop down list")))</f>
        <v>Proceed below</v>
      </c>
      <c r="C45" s="193"/>
      <c r="F45" s="124" t="s">
        <v>490</v>
      </c>
      <c r="G45" s="124" t="s">
        <v>490</v>
      </c>
    </row>
    <row r="46" spans="1:7" ht="41.25" customHeight="1" thickTop="1" thickBot="1" x14ac:dyDescent="0.5">
      <c r="A46" s="228" t="s">
        <v>147</v>
      </c>
      <c r="B46" s="147" t="s">
        <v>150</v>
      </c>
      <c r="C46" s="177"/>
      <c r="F46" s="124" t="s">
        <v>490</v>
      </c>
      <c r="G46" s="124" t="s">
        <v>490</v>
      </c>
    </row>
    <row r="47" spans="1:7" ht="25.5" thickTop="1" thickBot="1" x14ac:dyDescent="0.5">
      <c r="A47" s="229"/>
      <c r="B47" s="238" t="str">
        <f>Text!B47</f>
        <v>Direct Briefs to male junior counsel</v>
      </c>
      <c r="C47" s="179"/>
      <c r="F47" s="124" t="s">
        <v>490</v>
      </c>
      <c r="G47" s="124" t="s">
        <v>490</v>
      </c>
    </row>
    <row r="48" spans="1:7" ht="25.5" thickTop="1" thickBot="1" x14ac:dyDescent="0.5">
      <c r="A48" s="229"/>
      <c r="B48" s="183" t="str">
        <f>Text!B48</f>
        <v>Total number</v>
      </c>
      <c r="C48" s="115">
        <v>7</v>
      </c>
      <c r="D48" s="123" t="str">
        <f>IF($B$45&lt;&gt;"Proceed below","",IF(AND($C$57&lt;&gt;"Check",C48=""),"E",IF(AND($C$57&lt;&gt;"Check",C48&lt;&gt;""),"",IF(NOT(ISNUMBER(C48)),"D",IF(AND(C48&gt;0,C49=0),"D",IF(AND(INT(C48)=C48,C48&lt;&gt;"",C48&gt;=0),"C","D"))))))</f>
        <v>C</v>
      </c>
      <c r="F48" s="124" t="s">
        <v>612</v>
      </c>
      <c r="G48" s="124" t="s">
        <v>490</v>
      </c>
    </row>
    <row r="49" spans="1:8" ht="25.5" thickTop="1" thickBot="1" x14ac:dyDescent="0.5">
      <c r="A49" s="229"/>
      <c r="B49" s="183" t="str">
        <f>Text!B49</f>
        <v>Total value</v>
      </c>
      <c r="C49" s="114">
        <v>6716</v>
      </c>
      <c r="D49" s="123" t="str">
        <f>IF($B$45&lt;&gt;"Proceed below","",IF(AND($C$57&lt;&gt;"Check",C49=""),"E",IF(AND($C$57&lt;&gt;"Check",C49&lt;&gt;""),"",IF(NOT(ISNUMBER(C49)),"D",IF(AND(C49=0,C48&gt;0),"D",IF(AND(INT(C49)=C49,C49&lt;&gt;"",C49&gt;=0),"C","D"))))))</f>
        <v>C</v>
      </c>
      <c r="F49" s="124" t="s">
        <v>612</v>
      </c>
      <c r="G49" s="124" t="s">
        <v>490</v>
      </c>
    </row>
    <row r="50" spans="1:8" ht="25.5" thickTop="1" thickBot="1" x14ac:dyDescent="0.5">
      <c r="A50" s="229"/>
      <c r="B50" s="238" t="str">
        <f>Text!B50</f>
        <v>Direct Briefs to female junior counsel</v>
      </c>
      <c r="C50" s="179"/>
      <c r="F50" s="124" t="s">
        <v>490</v>
      </c>
      <c r="G50" s="124" t="s">
        <v>490</v>
      </c>
    </row>
    <row r="51" spans="1:8" ht="25.5" thickTop="1" thickBot="1" x14ac:dyDescent="0.5">
      <c r="A51" s="229"/>
      <c r="B51" s="183" t="str">
        <f>Text!B51</f>
        <v>Total number</v>
      </c>
      <c r="C51" s="115">
        <v>2</v>
      </c>
      <c r="D51" s="123" t="str">
        <f>IF($B$45&lt;&gt;"Proceed below","",IF(AND($C$57&lt;&gt;"Check",C51=""),"E",IF(AND($C$57&lt;&gt;"Check",C51&lt;&gt;""),"",IF(NOT(ISNUMBER(C51)),"D",IF(AND(C51&gt;0,C52=0),"D",IF(AND(INT(C51)=C51,C51&lt;&gt;"",C51&gt;=0),"C","D"))))))</f>
        <v>C</v>
      </c>
      <c r="F51" s="124" t="s">
        <v>612</v>
      </c>
      <c r="G51" s="124" t="s">
        <v>490</v>
      </c>
    </row>
    <row r="52" spans="1:8" ht="25.5" thickTop="1" thickBot="1" x14ac:dyDescent="0.5">
      <c r="A52" s="229"/>
      <c r="B52" s="183" t="str">
        <f>Text!B52</f>
        <v>Total value</v>
      </c>
      <c r="C52" s="114">
        <v>6745</v>
      </c>
      <c r="D52" s="123" t="str">
        <f>IF($B$45&lt;&gt;"Proceed below","",IF(AND($C$57&lt;&gt;"Check",C52=""),"E",IF(AND($C$57&lt;&gt;"Check",C52&lt;&gt;""),"",IF(NOT(ISNUMBER(C52)),"D",IF(AND(C52=0,C51&gt;0),"D",IF(AND(INT(C52)=C52,C52&lt;&gt;"",C52&gt;=0),"C","D"))))))</f>
        <v>C</v>
      </c>
      <c r="F52" s="124" t="s">
        <v>612</v>
      </c>
      <c r="G52" s="124" t="s">
        <v>490</v>
      </c>
    </row>
    <row r="53" spans="1:8" ht="25.5" thickTop="1" thickBot="1" x14ac:dyDescent="0.5">
      <c r="A53" s="229"/>
      <c r="B53" s="238" t="str">
        <f>Text!B53</f>
        <v>Direct Briefs to gender X junior counsel</v>
      </c>
      <c r="C53" s="194"/>
      <c r="F53" s="124" t="s">
        <v>490</v>
      </c>
      <c r="G53" s="124" t="s">
        <v>490</v>
      </c>
    </row>
    <row r="54" spans="1:8" ht="25.5" thickTop="1" thickBot="1" x14ac:dyDescent="0.5">
      <c r="A54" s="229"/>
      <c r="B54" s="183" t="str">
        <f>Text!B54</f>
        <v>Total number</v>
      </c>
      <c r="C54" s="115">
        <v>0</v>
      </c>
      <c r="D54" s="123" t="str">
        <f>IF($B$45&lt;&gt;"Proceed below","",IF(AND($C$57&lt;&gt;"Check",C54=""),"E",IF(AND($C$57&lt;&gt;"Check",C54&lt;&gt;""),"",IF(NOT(ISNUMBER(C54)),"D",IF(AND(C54&gt;0,C55=0),"D",IF(AND(INT(C54)=C54,C54&lt;&gt;"",C54&gt;=0),"C","D"))))))</f>
        <v>C</v>
      </c>
      <c r="F54" s="124" t="s">
        <v>612</v>
      </c>
      <c r="G54" s="124" t="s">
        <v>490</v>
      </c>
    </row>
    <row r="55" spans="1:8" ht="25.5" thickTop="1" thickBot="1" x14ac:dyDescent="0.5">
      <c r="A55" s="229"/>
      <c r="B55" s="183" t="str">
        <f>Text!B55</f>
        <v>Total value</v>
      </c>
      <c r="C55" s="114">
        <v>0</v>
      </c>
      <c r="D55" s="123" t="str">
        <f>IF($B$45&lt;&gt;"Proceed below","",IF(AND($C$57&lt;&gt;"Check",C55=""),"E",IF(AND($C$57&lt;&gt;"Check",C55&lt;&gt;""),"",IF(NOT(ISNUMBER(C55)),"D",IF(AND(C55=0,C54&gt;0),"D",IF(AND(INT(C55)=C55,C55&lt;&gt;"",C55&gt;=0),"C","D"))))))</f>
        <v>C</v>
      </c>
      <c r="F55" s="124" t="s">
        <v>612</v>
      </c>
      <c r="G55" s="124" t="s">
        <v>490</v>
      </c>
    </row>
    <row r="56" spans="1:8" ht="27" customHeight="1" thickTop="1" thickBot="1" x14ac:dyDescent="0.5">
      <c r="A56" s="229"/>
      <c r="B56" s="154"/>
      <c r="C56" s="195"/>
      <c r="F56" s="124" t="s">
        <v>490</v>
      </c>
      <c r="G56" s="124" t="s">
        <v>490</v>
      </c>
      <c r="H56" s="124" t="s">
        <v>490</v>
      </c>
    </row>
    <row r="57" spans="1:8" ht="25.5" thickTop="1" thickBot="1" x14ac:dyDescent="0.5">
      <c r="A57" s="229"/>
      <c r="B57" s="236" t="str">
        <f>IF($B$45="Proceed below",Text!B57,"")</f>
        <v>Check details to proceed</v>
      </c>
      <c r="C57" s="113" t="s">
        <v>555</v>
      </c>
      <c r="D57" s="123" t="str">
        <f>IF(AND(B45="Proceed below",C48&lt;&gt;"",C49&lt;&gt;"",C51&lt;&gt;"",C52&lt;&gt;"",C54&lt;&gt;"",C55&lt;&gt;"",C57=""),"E","")</f>
        <v/>
      </c>
      <c r="E57" s="123" t="str">
        <f>IF(B57="Check details to proceed","O","")</f>
        <v>O</v>
      </c>
      <c r="F57" s="124" t="s">
        <v>612</v>
      </c>
      <c r="G57" s="124" t="s">
        <v>606</v>
      </c>
    </row>
    <row r="58" spans="1:8" ht="25.5" thickTop="1" thickBot="1" x14ac:dyDescent="0.5">
      <c r="A58" s="230"/>
      <c r="B58" s="189"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193"/>
      <c r="F58" s="124" t="s">
        <v>490</v>
      </c>
      <c r="G58" s="124" t="s">
        <v>490</v>
      </c>
    </row>
    <row r="59" spans="1:8" ht="41.25" customHeight="1" thickTop="1" thickBot="1" x14ac:dyDescent="0.5">
      <c r="A59" s="229"/>
      <c r="B59" s="238" t="str">
        <f>Text!B59</f>
        <v>Indirect Briefs to male junior counsel</v>
      </c>
      <c r="C59" s="179"/>
      <c r="F59" s="124" t="s">
        <v>490</v>
      </c>
      <c r="G59" s="124" t="s">
        <v>490</v>
      </c>
    </row>
    <row r="60" spans="1:8" ht="25.5" thickTop="1" thickBot="1" x14ac:dyDescent="0.5">
      <c r="A60" s="229"/>
      <c r="B60" s="183" t="str">
        <f>Text!B60</f>
        <v>Total number</v>
      </c>
      <c r="C60" s="115">
        <v>5</v>
      </c>
      <c r="D60" s="123" t="str">
        <f>IF($B$58&lt;&gt;"Proceed below","",IF(AND($C$69&lt;&gt;"Check",C60=""),"E",IF(AND($C$69&lt;&gt;"Check",C60&lt;&gt;""),"",IF(NOT(ISNUMBER(C60)),"D",IF(AND(C60&gt;0,C61=0),"D",IF(AND(INT(C60)=C60,C60&lt;&gt;"",C60&gt;=0),"C","D"))))))</f>
        <v>C</v>
      </c>
      <c r="F60" s="124" t="s">
        <v>612</v>
      </c>
      <c r="G60" s="124" t="s">
        <v>490</v>
      </c>
    </row>
    <row r="61" spans="1:8" ht="25.5" thickTop="1" thickBot="1" x14ac:dyDescent="0.5">
      <c r="A61" s="229"/>
      <c r="B61" s="183" t="str">
        <f>Text!B61</f>
        <v>Total value</v>
      </c>
      <c r="C61" s="114">
        <v>65213</v>
      </c>
      <c r="D61" s="123" t="str">
        <f>IF($B$58&lt;&gt;"Proceed below","",IF(AND($C$69&lt;&gt;"Check",C61=""),"E",IF(AND($C$69&lt;&gt;"Check",C61&lt;&gt;""),"",IF(NOT(ISNUMBER(C61)),"D",IF(AND(C61=0,C60&gt;0),"D",IF(AND(INT(C61)=C61,C61&lt;&gt;"",C61&gt;=0),"C","D"))))))</f>
        <v>C</v>
      </c>
      <c r="F61" s="124" t="s">
        <v>612</v>
      </c>
      <c r="G61" s="124" t="s">
        <v>490</v>
      </c>
    </row>
    <row r="62" spans="1:8" ht="25.5" thickTop="1" thickBot="1" x14ac:dyDescent="0.5">
      <c r="A62" s="229"/>
      <c r="B62" s="238" t="str">
        <f>Text!B62</f>
        <v>Indirect Briefs to female junior counsel</v>
      </c>
      <c r="C62" s="179"/>
      <c r="F62" s="124" t="s">
        <v>490</v>
      </c>
      <c r="G62" s="124" t="s">
        <v>490</v>
      </c>
    </row>
    <row r="63" spans="1:8" ht="25.5" thickTop="1" thickBot="1" x14ac:dyDescent="0.5">
      <c r="A63" s="229"/>
      <c r="B63" s="183" t="str">
        <f>Text!B63</f>
        <v>Total number</v>
      </c>
      <c r="C63" s="115">
        <v>7</v>
      </c>
      <c r="D63" s="123" t="str">
        <f>IF($B$58&lt;&gt;"Proceed below","",IF(AND($C$69&lt;&gt;"Check",C63=""),"E",IF(AND($C$69&lt;&gt;"Check",C63&lt;&gt;""),"",IF(NOT(ISNUMBER(C63)),"D",IF(AND(C63&gt;0,C64=0),"D",IF(AND(INT(C63)=C63,C63&lt;&gt;"",C63&gt;=0),"C","D"))))))</f>
        <v>C</v>
      </c>
      <c r="F63" s="124" t="s">
        <v>612</v>
      </c>
      <c r="G63" s="124" t="s">
        <v>490</v>
      </c>
    </row>
    <row r="64" spans="1:8" ht="25.5" thickTop="1" thickBot="1" x14ac:dyDescent="0.5">
      <c r="A64" s="229"/>
      <c r="B64" s="183" t="str">
        <f>Text!B64</f>
        <v>Total value</v>
      </c>
      <c r="C64" s="114">
        <v>69587</v>
      </c>
      <c r="D64" s="123" t="str">
        <f>IF($B$58&lt;&gt;"Proceed below","",IF(AND($C$69&lt;&gt;"Check",C64=""),"E",IF(AND($C$69&lt;&gt;"Check",C64&lt;&gt;""),"",IF(NOT(ISNUMBER(C64)),"D",IF(AND(C64=0,C63&gt;0),"D",IF(AND(INT(C64)=C64,C64&lt;&gt;"",C64&gt;=0),"C","D"))))))</f>
        <v>C</v>
      </c>
      <c r="F64" s="124" t="s">
        <v>612</v>
      </c>
      <c r="G64" s="124" t="s">
        <v>490</v>
      </c>
    </row>
    <row r="65" spans="1:7" ht="25.5" thickTop="1" thickBot="1" x14ac:dyDescent="0.5">
      <c r="A65" s="229"/>
      <c r="B65" s="238" t="str">
        <f>Text!B65</f>
        <v>Indirect Briefs to gender X junior counsel</v>
      </c>
      <c r="C65" s="194"/>
      <c r="F65" s="124" t="s">
        <v>490</v>
      </c>
      <c r="G65" s="124" t="s">
        <v>490</v>
      </c>
    </row>
    <row r="66" spans="1:7" ht="25.5" thickTop="1" thickBot="1" x14ac:dyDescent="0.5">
      <c r="A66" s="229"/>
      <c r="B66" s="183" t="str">
        <f>Text!B66</f>
        <v>Total number</v>
      </c>
      <c r="C66" s="115">
        <v>0</v>
      </c>
      <c r="D66" s="123" t="str">
        <f>IF($B$58&lt;&gt;"Proceed below","",IF(AND($C$69&lt;&gt;"Check",C66=""),"E",IF(AND($C$69&lt;&gt;"Check",C66&lt;&gt;""),"",IF(NOT(ISNUMBER(C66)),"D",IF(AND(C66&gt;0,C67=0),"D",IF(AND(INT(C66)=C66,C66&lt;&gt;"",C66&gt;=0),"C","D"))))))</f>
        <v>C</v>
      </c>
      <c r="F66" s="124" t="s">
        <v>612</v>
      </c>
      <c r="G66" s="124" t="s">
        <v>490</v>
      </c>
    </row>
    <row r="67" spans="1:7" ht="25.5" thickTop="1" thickBot="1" x14ac:dyDescent="0.5">
      <c r="A67" s="229"/>
      <c r="B67" s="183" t="str">
        <f>Text!B67</f>
        <v>Total value</v>
      </c>
      <c r="C67" s="114">
        <v>0</v>
      </c>
      <c r="D67" s="123" t="str">
        <f>IF($B$58&lt;&gt;"Proceed below","",IF(AND($C$69&lt;&gt;"Check",C67=""),"E",IF(AND($C$69&lt;&gt;"Check",C67&lt;&gt;""),"",IF(NOT(ISNUMBER(C67)),"D",IF(AND(C67=0,C66&gt;0),"D",IF(AND(INT(C67)=C67,C67&lt;&gt;"",C67&gt;=0),"C","D"))))))</f>
        <v>C</v>
      </c>
      <c r="F67" s="124" t="s">
        <v>612</v>
      </c>
      <c r="G67" s="124" t="s">
        <v>490</v>
      </c>
    </row>
    <row r="68" spans="1:7" ht="27.75" customHeight="1" thickTop="1" thickBot="1" x14ac:dyDescent="0.5">
      <c r="A68" s="229"/>
      <c r="B68" s="154"/>
      <c r="C68" s="195"/>
      <c r="F68" s="124" t="s">
        <v>490</v>
      </c>
      <c r="G68" s="124" t="s">
        <v>490</v>
      </c>
    </row>
    <row r="69" spans="1:7" ht="25.5" thickTop="1" thickBot="1" x14ac:dyDescent="0.5">
      <c r="A69" s="229"/>
      <c r="B69" s="236" t="str">
        <f>IF($B$58="Proceed below",Text!B69,"")</f>
        <v>Check details to proceed</v>
      </c>
      <c r="C69" s="113" t="s">
        <v>555</v>
      </c>
      <c r="D69" s="123" t="str">
        <f>IF(AND(B58="Proceed below",C60&lt;&gt;"",C61&lt;&gt;"",C63&lt;&gt;"",C64&lt;&gt;"",C66&lt;&gt;"",C67&lt;&gt;"",C69=""),"E","")</f>
        <v/>
      </c>
      <c r="E69" s="123" t="str">
        <f>IF(B69="Check details to proceed","O","")</f>
        <v>O</v>
      </c>
      <c r="F69" s="124" t="s">
        <v>612</v>
      </c>
      <c r="G69" s="124" t="s">
        <v>606</v>
      </c>
    </row>
    <row r="70" spans="1:7" ht="25.5" thickTop="1" thickBot="1" x14ac:dyDescent="0.5">
      <c r="A70" s="230"/>
      <c r="B70" s="189"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193"/>
      <c r="F70" s="124" t="s">
        <v>490</v>
      </c>
      <c r="G70" s="124" t="s">
        <v>490</v>
      </c>
    </row>
    <row r="71" spans="1:7" ht="43.5" customHeight="1" thickTop="1" thickBot="1" x14ac:dyDescent="0.5">
      <c r="A71" s="228" t="s">
        <v>149</v>
      </c>
      <c r="B71" s="147" t="s">
        <v>148</v>
      </c>
      <c r="C71" s="177"/>
      <c r="F71" s="124" t="s">
        <v>490</v>
      </c>
      <c r="G71" s="124" t="s">
        <v>490</v>
      </c>
    </row>
    <row r="72" spans="1:7" ht="25.5" thickTop="1" thickBot="1" x14ac:dyDescent="0.5">
      <c r="A72" s="229"/>
      <c r="B72" s="238" t="str">
        <f>Text!B72</f>
        <v>Direct Briefs to male senior counsel</v>
      </c>
      <c r="C72" s="179"/>
      <c r="F72" s="124" t="s">
        <v>490</v>
      </c>
      <c r="G72" s="124" t="s">
        <v>490</v>
      </c>
    </row>
    <row r="73" spans="1:7" ht="25.5" thickTop="1" thickBot="1" x14ac:dyDescent="0.5">
      <c r="A73" s="229"/>
      <c r="B73" s="183" t="str">
        <f>Text!B73</f>
        <v>Total number</v>
      </c>
      <c r="C73" s="115">
        <v>1</v>
      </c>
      <c r="D73" s="123" t="str">
        <f>IF($B$70&lt;&gt;"Proceed below","",IF(AND($C$82&lt;&gt;"Check",C73=""),"E",IF(AND($C$82&lt;&gt;"Check",C73&lt;&gt;""),"",IF(NOT(ISNUMBER(C73)),"D",IF(AND(C73&gt;0,C74=0),"D",IF(AND(INT(C73)=C73,C73&lt;&gt;"",C73&gt;=0),"C","D"))))))</f>
        <v>C</v>
      </c>
      <c r="F73" s="124" t="s">
        <v>612</v>
      </c>
      <c r="G73" s="124" t="s">
        <v>490</v>
      </c>
    </row>
    <row r="74" spans="1:7" ht="25.5" thickTop="1" thickBot="1" x14ac:dyDescent="0.5">
      <c r="A74" s="229"/>
      <c r="B74" s="183" t="str">
        <f>Text!B74</f>
        <v>Total value</v>
      </c>
      <c r="C74" s="114">
        <v>1312</v>
      </c>
      <c r="D74" s="123" t="str">
        <f>IF($B$70&lt;&gt;"Proceed below","",IF(AND($C$82&lt;&gt;"Check",C74=""),"E",IF(AND($C$82&lt;&gt;"Check",C74&lt;&gt;""),"",IF(NOT(ISNUMBER(C74)),"D",IF(AND(C74=0,C73&gt;0),"D",IF(AND(INT(C74)=C74,C74&lt;&gt;"",C74&gt;=0),"C","D"))))))</f>
        <v>C</v>
      </c>
      <c r="F74" s="124" t="s">
        <v>612</v>
      </c>
      <c r="G74" s="124" t="s">
        <v>490</v>
      </c>
    </row>
    <row r="75" spans="1:7" ht="25.5" thickTop="1" thickBot="1" x14ac:dyDescent="0.5">
      <c r="A75" s="229"/>
      <c r="B75" s="238" t="str">
        <f>Text!B75</f>
        <v>Direct Briefs to female senior counsel</v>
      </c>
      <c r="C75" s="179"/>
      <c r="F75" s="124" t="s">
        <v>490</v>
      </c>
      <c r="G75" s="124" t="s">
        <v>490</v>
      </c>
    </row>
    <row r="76" spans="1:7" ht="25.5" thickTop="1" thickBot="1" x14ac:dyDescent="0.5">
      <c r="A76" s="229"/>
      <c r="B76" s="183" t="str">
        <f>Text!B76</f>
        <v>Total number</v>
      </c>
      <c r="C76" s="115">
        <v>10</v>
      </c>
      <c r="D76" s="123" t="str">
        <f>IF($B$70&lt;&gt;"Proceed below","",IF(AND($C$82&lt;&gt;"Check",C76=""),"E",IF(AND($C$82&lt;&gt;"Check",C76&lt;&gt;""),"",IF(NOT(ISNUMBER(C76)),"D",IF(AND(C76&gt;0,C77=0),"D",IF(AND(INT(C76)=C76,C76&lt;&gt;"",C76&gt;=0),"C","D"))))))</f>
        <v>C</v>
      </c>
      <c r="F76" s="124" t="s">
        <v>612</v>
      </c>
      <c r="G76" s="124" t="s">
        <v>490</v>
      </c>
    </row>
    <row r="77" spans="1:7" ht="25.5" thickTop="1" thickBot="1" x14ac:dyDescent="0.5">
      <c r="A77" s="229"/>
      <c r="B77" s="183" t="str">
        <f>Text!B77</f>
        <v>Total value</v>
      </c>
      <c r="C77" s="114">
        <v>185779</v>
      </c>
      <c r="D77" s="123" t="str">
        <f>IF($B$70&lt;&gt;"Proceed below","",IF(AND($C$82&lt;&gt;"Check",C77=""),"E",IF(AND($C$82&lt;&gt;"Check",C77&lt;&gt;""),"",IF(NOT(ISNUMBER(C77)),"D",IF(AND(C77=0,C76&gt;0),"D",IF(AND(INT(C77)=C77,C77&lt;&gt;"",C77&gt;=0),"C","D"))))))</f>
        <v>C</v>
      </c>
      <c r="F77" s="124" t="s">
        <v>612</v>
      </c>
      <c r="G77" s="124" t="s">
        <v>490</v>
      </c>
    </row>
    <row r="78" spans="1:7" ht="25.5" thickTop="1" thickBot="1" x14ac:dyDescent="0.5">
      <c r="A78" s="229"/>
      <c r="B78" s="238" t="str">
        <f>Text!B78</f>
        <v>Direct Briefs to gender X senior counsel</v>
      </c>
      <c r="C78" s="194"/>
      <c r="F78" s="124" t="s">
        <v>490</v>
      </c>
      <c r="G78" s="124" t="s">
        <v>490</v>
      </c>
    </row>
    <row r="79" spans="1:7" ht="25.5" thickTop="1" thickBot="1" x14ac:dyDescent="0.5">
      <c r="A79" s="229"/>
      <c r="B79" s="183" t="str">
        <f>Text!B79</f>
        <v>Total number</v>
      </c>
      <c r="C79" s="115">
        <v>0</v>
      </c>
      <c r="D79" s="123" t="str">
        <f>IF($B$70&lt;&gt;"Proceed below","",IF(AND($C$82&lt;&gt;"Check",C79=""),"E",IF(AND($C$82&lt;&gt;"Check",C79&lt;&gt;""),"",IF(NOT(ISNUMBER(C79)),"D",IF(AND(C79&gt;0,C80=0),"D",IF(AND(INT(C79)=C79,C79&lt;&gt;"",C79&gt;=0),"C","D"))))))</f>
        <v>C</v>
      </c>
      <c r="F79" s="124" t="s">
        <v>612</v>
      </c>
      <c r="G79" s="124" t="s">
        <v>490</v>
      </c>
    </row>
    <row r="80" spans="1:7" ht="25.5" thickTop="1" thickBot="1" x14ac:dyDescent="0.5">
      <c r="A80" s="229"/>
      <c r="B80" s="183" t="str">
        <f>Text!B80</f>
        <v>Total value</v>
      </c>
      <c r="C80" s="114">
        <v>0</v>
      </c>
      <c r="D80" s="123" t="str">
        <f>IF($B$70&lt;&gt;"Proceed below","",IF(AND($C$82&lt;&gt;"Check",C80=""),"E",IF(AND($C$82&lt;&gt;"Check",C80&lt;&gt;""),"",IF(NOT(ISNUMBER(C80)),"D",IF(AND(C80=0,C79&gt;0),"D",IF(AND(INT(C80)=C80,C80&lt;&gt;"",C80&gt;=0),"C","D"))))))</f>
        <v>C</v>
      </c>
      <c r="F80" s="124" t="s">
        <v>612</v>
      </c>
      <c r="G80" s="124" t="s">
        <v>490</v>
      </c>
    </row>
    <row r="81" spans="1:7" ht="31.5" customHeight="1" thickTop="1" thickBot="1" x14ac:dyDescent="0.5">
      <c r="A81" s="229"/>
      <c r="B81" s="154"/>
      <c r="C81" s="195"/>
      <c r="F81" s="124" t="s">
        <v>490</v>
      </c>
      <c r="G81" s="124" t="s">
        <v>490</v>
      </c>
    </row>
    <row r="82" spans="1:7" ht="25.5" thickTop="1" thickBot="1" x14ac:dyDescent="0.5">
      <c r="A82" s="229"/>
      <c r="B82" s="236" t="str">
        <f>IF($B$70="Proceed below",Text!B82,"")</f>
        <v>Check details to proceed</v>
      </c>
      <c r="C82" s="113" t="s">
        <v>555</v>
      </c>
      <c r="D82" s="123" t="str">
        <f>IF(AND(B70="Proceed below",C73&lt;&gt;"",C74&lt;&gt;"",C76&lt;&gt;"",C77&lt;&gt;"",C79&lt;&gt;"",C80&lt;&gt;"",C82=""),"E","")</f>
        <v/>
      </c>
      <c r="E82" s="123" t="str">
        <f>IF(B82="Check details to proceed","O","")</f>
        <v>O</v>
      </c>
      <c r="F82" s="124" t="s">
        <v>612</v>
      </c>
      <c r="G82" s="124" t="s">
        <v>606</v>
      </c>
    </row>
    <row r="83" spans="1:7" ht="25.5" thickTop="1" thickBot="1" x14ac:dyDescent="0.5">
      <c r="A83" s="230"/>
      <c r="B83" s="189"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193"/>
      <c r="F83" s="124" t="s">
        <v>490</v>
      </c>
      <c r="G83" s="124" t="s">
        <v>490</v>
      </c>
    </row>
    <row r="84" spans="1:7" ht="38.5" customHeight="1" thickTop="1" thickBot="1" x14ac:dyDescent="0.5">
      <c r="A84" s="229"/>
      <c r="B84" s="238" t="str">
        <f>Text!B84</f>
        <v>Indirect Briefs to male senior counsel</v>
      </c>
      <c r="C84" s="179"/>
      <c r="F84" s="124" t="s">
        <v>490</v>
      </c>
      <c r="G84" s="124" t="s">
        <v>490</v>
      </c>
    </row>
    <row r="85" spans="1:7" ht="25.5" thickTop="1" thickBot="1" x14ac:dyDescent="0.5">
      <c r="A85" s="229"/>
      <c r="B85" s="183" t="str">
        <f>Text!B85</f>
        <v>Total number</v>
      </c>
      <c r="C85" s="115">
        <v>5</v>
      </c>
      <c r="D85" s="123" t="str">
        <f>IF($B$83&lt;&gt;"Proceed below","",IF(AND($C$94&lt;&gt;"Check",C85=""),"E",IF(AND($C$94&lt;&gt;"Check",C85&lt;&gt;""),"",IF(NOT(ISNUMBER(C85)),"D",IF(AND(C85&gt;0,C86=0),"D",IF(AND(INT(C85)=C85,C85&lt;&gt;"",C85&gt;=0),"C","D"))))))</f>
        <v>C</v>
      </c>
      <c r="F85" s="124" t="s">
        <v>612</v>
      </c>
      <c r="G85" s="124" t="s">
        <v>490</v>
      </c>
    </row>
    <row r="86" spans="1:7" ht="25.5" thickTop="1" thickBot="1" x14ac:dyDescent="0.5">
      <c r="A86" s="229"/>
      <c r="B86" s="183" t="str">
        <f>Text!B86</f>
        <v>Total value</v>
      </c>
      <c r="C86" s="114">
        <v>59412</v>
      </c>
      <c r="D86" s="123" t="str">
        <f>IF($B$83&lt;&gt;"Proceed below","",IF(AND($C$94&lt;&gt;"Check",C86=""),"E",IF(AND($C$94&lt;&gt;"Check",C86&lt;&gt;""),"",IF(NOT(ISNUMBER(C86)),"D",IF(AND(C86=0,C85&gt;0),"D",IF(AND(INT(C86)=C86,C86&lt;&gt;"",C86&gt;=0),"C","D"))))))</f>
        <v>C</v>
      </c>
      <c r="F86" s="124" t="s">
        <v>612</v>
      </c>
      <c r="G86" s="124" t="s">
        <v>490</v>
      </c>
    </row>
    <row r="87" spans="1:7" ht="25.5" thickTop="1" thickBot="1" x14ac:dyDescent="0.5">
      <c r="A87" s="229"/>
      <c r="B87" s="238" t="str">
        <f>Text!B87</f>
        <v>Indirect Briefs to female senior counsel</v>
      </c>
      <c r="C87" s="179"/>
      <c r="F87" s="124" t="s">
        <v>490</v>
      </c>
      <c r="G87" s="124" t="s">
        <v>490</v>
      </c>
    </row>
    <row r="88" spans="1:7" ht="25.5" thickTop="1" thickBot="1" x14ac:dyDescent="0.5">
      <c r="A88" s="229"/>
      <c r="B88" s="183" t="str">
        <f>Text!B88</f>
        <v>Total number</v>
      </c>
      <c r="C88" s="115">
        <v>4</v>
      </c>
      <c r="D88" s="123" t="str">
        <f>IF($B$83&lt;&gt;"Proceed below","",IF(AND($C$94&lt;&gt;"Check",C88=""),"E",IF(AND($C$94&lt;&gt;"Check",C88&lt;&gt;""),"",IF(NOT(ISNUMBER(C88)),"D",IF(AND(C88&gt;0,C89=0),"D",IF(AND(INT(C88)=C88,C88&lt;&gt;"",C88&gt;=0),"C","D"))))))</f>
        <v>C</v>
      </c>
      <c r="F88" s="124" t="s">
        <v>612</v>
      </c>
      <c r="G88" s="124" t="s">
        <v>490</v>
      </c>
    </row>
    <row r="89" spans="1:7" ht="25.5" thickTop="1" thickBot="1" x14ac:dyDescent="0.5">
      <c r="A89" s="229"/>
      <c r="B89" s="183" t="str">
        <f>Text!B89</f>
        <v>Total value</v>
      </c>
      <c r="C89" s="114">
        <v>66098</v>
      </c>
      <c r="D89" s="123" t="str">
        <f>IF($B$83&lt;&gt;"Proceed below","",IF(AND($C$94&lt;&gt;"Check",C89=""),"E",IF(AND($C$94&lt;&gt;"Check",C89&lt;&gt;""),"",IF(NOT(ISNUMBER(C89)),"D",IF(AND(C89=0,C88&gt;0),"D",IF(AND(INT(C89)=C89,C89&lt;&gt;"",C89&gt;=0),"C","D"))))))</f>
        <v>C</v>
      </c>
      <c r="F89" s="124" t="s">
        <v>612</v>
      </c>
      <c r="G89" s="124" t="s">
        <v>490</v>
      </c>
    </row>
    <row r="90" spans="1:7" ht="25.5" thickTop="1" thickBot="1" x14ac:dyDescent="0.5">
      <c r="A90" s="229"/>
      <c r="B90" s="238" t="str">
        <f>Text!B90</f>
        <v>Indirect Briefs to gender X senior counsel</v>
      </c>
      <c r="C90" s="194"/>
      <c r="F90" s="124" t="s">
        <v>490</v>
      </c>
      <c r="G90" s="124" t="s">
        <v>490</v>
      </c>
    </row>
    <row r="91" spans="1:7" ht="25.5" thickTop="1" thickBot="1" x14ac:dyDescent="0.5">
      <c r="A91" s="229"/>
      <c r="B91" s="183" t="str">
        <f>Text!B91</f>
        <v>Total number</v>
      </c>
      <c r="C91" s="115">
        <v>0</v>
      </c>
      <c r="D91" s="123" t="str">
        <f>IF($B$83&lt;&gt;"Proceed below","",IF(AND($C$94&lt;&gt;"Check",C91=""),"E",IF(AND($C$94&lt;&gt;"Check",C91&lt;&gt;""),"",IF(NOT(ISNUMBER(C91)),"D",IF(AND(C91&gt;0,C92=0),"D",IF(AND(INT(C91)=C91,C91&lt;&gt;"",C91&gt;=0),"C","D"))))))</f>
        <v>C</v>
      </c>
      <c r="F91" s="124" t="s">
        <v>612</v>
      </c>
      <c r="G91" s="124" t="s">
        <v>490</v>
      </c>
    </row>
    <row r="92" spans="1:7" ht="25.5" thickTop="1" thickBot="1" x14ac:dyDescent="0.5">
      <c r="A92" s="229"/>
      <c r="B92" s="183" t="str">
        <f>Text!B92</f>
        <v>Total value</v>
      </c>
      <c r="C92" s="114">
        <v>0</v>
      </c>
      <c r="D92" s="123" t="str">
        <f>IF($B$83&lt;&gt;"Proceed below","",IF(AND($C$94&lt;&gt;"Check",C92=""),"E",IF(AND($C$94&lt;&gt;"Check",C92&lt;&gt;""),"",IF(NOT(ISNUMBER(C92)),"D",IF(AND(C92=0,C91&gt;0),"D",IF(AND(INT(C92)=C92,C92&lt;&gt;"",C92&gt;=0),"C","D"))))))</f>
        <v>C</v>
      </c>
      <c r="F92" s="124" t="s">
        <v>612</v>
      </c>
      <c r="G92" s="124" t="s">
        <v>490</v>
      </c>
    </row>
    <row r="93" spans="1:7" ht="31.5" customHeight="1" thickTop="1" thickBot="1" x14ac:dyDescent="0.5">
      <c r="A93" s="229"/>
      <c r="B93" s="154"/>
      <c r="C93" s="195"/>
      <c r="F93" s="124" t="s">
        <v>490</v>
      </c>
      <c r="G93" s="124" t="s">
        <v>490</v>
      </c>
    </row>
    <row r="94" spans="1:7" ht="25.5" thickTop="1" thickBot="1" x14ac:dyDescent="0.5">
      <c r="A94" s="229"/>
      <c r="B94" s="236" t="str">
        <f>IF($B$83="Proceed below",Text!B94,"")</f>
        <v>Check details to proceed</v>
      </c>
      <c r="C94" s="113" t="s">
        <v>555</v>
      </c>
      <c r="D94" s="123" t="str">
        <f>IF(AND(B83="Proceed below",C85&lt;&gt;"",C86&lt;&gt;"",C88&lt;&gt;"",C89&lt;&gt;"",C91&lt;&gt;"",C92&lt;&gt;"",C94=""),"E","")</f>
        <v/>
      </c>
      <c r="E94" s="123" t="str">
        <f>IF(B94="Check details to proceed","O","")</f>
        <v>O</v>
      </c>
      <c r="F94" s="124" t="s">
        <v>612</v>
      </c>
      <c r="G94" s="124" t="s">
        <v>606</v>
      </c>
    </row>
    <row r="95" spans="1:7" ht="25.5" thickTop="1" thickBot="1" x14ac:dyDescent="0.5">
      <c r="A95" s="230"/>
      <c r="B95" s="189"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193"/>
      <c r="F95" s="124" t="s">
        <v>490</v>
      </c>
      <c r="G95" s="124" t="s">
        <v>490</v>
      </c>
    </row>
    <row r="96" spans="1:7" ht="38.15" customHeight="1" thickTop="1" thickBot="1" x14ac:dyDescent="0.5">
      <c r="A96" s="228" t="s">
        <v>152</v>
      </c>
      <c r="B96" s="147" t="s">
        <v>153</v>
      </c>
      <c r="C96" s="177"/>
      <c r="F96" s="124" t="s">
        <v>490</v>
      </c>
      <c r="G96" s="124" t="s">
        <v>490</v>
      </c>
    </row>
    <row r="97" spans="1:7" ht="49.5" customHeight="1" thickTop="1" x14ac:dyDescent="0.45">
      <c r="A97" s="215" t="str">
        <f>Text!A97</f>
        <v>What is this section?</v>
      </c>
      <c r="B97" s="135" t="str">
        <f>Text!B97</f>
        <v xml:space="preserve">
In this section you are required to report the total value of your entity’s expenditure on disbursements. 
</v>
      </c>
      <c r="C97" s="179"/>
      <c r="F97" s="124" t="s">
        <v>490</v>
      </c>
      <c r="G97" s="124" t="s">
        <v>490</v>
      </c>
    </row>
    <row r="98" spans="1:7" ht="82.5" customHeight="1" x14ac:dyDescent="0.45">
      <c r="A98" s="215" t="str">
        <f>Text!A98</f>
        <v>What are disbursements?</v>
      </c>
      <c r="B98" s="135"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179"/>
      <c r="F98" s="124" t="s">
        <v>490</v>
      </c>
      <c r="G98" s="124" t="s">
        <v>490</v>
      </c>
    </row>
    <row r="99" spans="1:7" ht="61.5" customHeight="1" x14ac:dyDescent="0.45">
      <c r="A99" s="215" t="str">
        <f>Text!A99</f>
        <v>How are disbursements reported?</v>
      </c>
      <c r="B99" s="135" t="str">
        <f>Text!B99</f>
        <v xml:space="preserve">
The figure must be a whole dollar amount, GST exclusive. Figures including cents will not be accepted. If there were no disbursements, enter '0' for a total value of $0. 
</v>
      </c>
      <c r="C99" s="179"/>
      <c r="F99" s="124" t="s">
        <v>490</v>
      </c>
      <c r="G99" s="124" t="s">
        <v>490</v>
      </c>
    </row>
    <row r="100" spans="1:7" ht="29.5" customHeight="1" thickBot="1" x14ac:dyDescent="0.5">
      <c r="A100" s="215"/>
      <c r="B100" s="180"/>
      <c r="C100" s="179"/>
      <c r="F100" s="124" t="s">
        <v>490</v>
      </c>
      <c r="G100" s="124" t="s">
        <v>490</v>
      </c>
    </row>
    <row r="101" spans="1:7" ht="25.5" thickTop="1" thickBot="1" x14ac:dyDescent="0.5">
      <c r="A101" s="229"/>
      <c r="B101" s="236" t="str">
        <f>IF($B$95&lt;&gt;"Proceed below","",Text!B101)</f>
        <v>Please confirm you have read and understood the Disbursements explainer</v>
      </c>
      <c r="C101" s="113" t="s">
        <v>141</v>
      </c>
      <c r="D101" s="123" t="str">
        <f>IF(AND(B95="Proceed below",C101=""),"E","")</f>
        <v/>
      </c>
      <c r="E101" s="123" t="str">
        <f>IF(B101=Text!B101,"E","")</f>
        <v>E</v>
      </c>
      <c r="F101" s="124" t="s">
        <v>612</v>
      </c>
      <c r="G101" s="124" t="s">
        <v>605</v>
      </c>
    </row>
    <row r="102" spans="1:7" ht="25.5" thickTop="1" thickBot="1" x14ac:dyDescent="0.5">
      <c r="A102" s="230"/>
      <c r="B102" s="189" t="str">
        <f>IF($B$95&lt;&gt;"Proceed below","",IF($C$101="Yes","Proceed below",IF($C$101="No","Contact OLSC for assistance","Read the explainer then select 'Yes' or 'No' from the drop down list")))</f>
        <v>Proceed below</v>
      </c>
      <c r="C102" s="193"/>
      <c r="F102" s="124" t="s">
        <v>490</v>
      </c>
      <c r="G102" s="124" t="s">
        <v>490</v>
      </c>
    </row>
    <row r="103" spans="1:7" ht="37" customHeight="1" thickTop="1" thickBot="1" x14ac:dyDescent="0.5">
      <c r="A103" s="228" t="s">
        <v>152</v>
      </c>
      <c r="B103" s="147" t="s">
        <v>47</v>
      </c>
      <c r="C103" s="177"/>
      <c r="F103" s="124" t="s">
        <v>490</v>
      </c>
      <c r="G103" s="124" t="s">
        <v>490</v>
      </c>
    </row>
    <row r="104" spans="1:7" ht="25.5" thickTop="1" thickBot="1" x14ac:dyDescent="0.5">
      <c r="A104" s="229"/>
      <c r="B104" s="183" t="str">
        <f>Text!B104</f>
        <v>Total value of disbursements</v>
      </c>
      <c r="C104" s="114">
        <v>29069</v>
      </c>
      <c r="D104" s="123" t="str">
        <f>IF($B$102&lt;&gt;"Proceed below","",IF(AND(C106&lt;&gt;"Check",C104=""),"E",IF(AND(C106&lt;&gt;"Check",C104&lt;&gt;""),"",IF(NOT(ISNUMBER(C104)),"D",IF(AND(INT(C104)=C104,C104&lt;&gt;"",C104&gt;=0),"C","D")))))</f>
        <v>C</v>
      </c>
      <c r="F104" s="124" t="s">
        <v>612</v>
      </c>
      <c r="G104" s="124" t="s">
        <v>490</v>
      </c>
    </row>
    <row r="105" spans="1:7" ht="25.5" thickTop="1" thickBot="1" x14ac:dyDescent="0.5">
      <c r="A105" s="229"/>
      <c r="B105" s="154"/>
      <c r="C105" s="195"/>
      <c r="F105" s="124" t="s">
        <v>490</v>
      </c>
      <c r="G105" s="124" t="s">
        <v>490</v>
      </c>
    </row>
    <row r="106" spans="1:7" ht="25.5" thickTop="1" thickBot="1" x14ac:dyDescent="0.5">
      <c r="A106" s="229"/>
      <c r="B106" s="236" t="str">
        <f>IF($B$102="Proceed below",Text!B106,"")</f>
        <v>Check details to proceed</v>
      </c>
      <c r="C106" s="113" t="s">
        <v>555</v>
      </c>
      <c r="D106" s="123" t="str">
        <f>IF(AND(B102="Proceed below",C104&lt;&gt;"",C106=""),"E","")</f>
        <v/>
      </c>
      <c r="E106" s="123" t="str">
        <f>IF(B106="Check details to proceed","O","")</f>
        <v>O</v>
      </c>
      <c r="F106" s="124" t="s">
        <v>612</v>
      </c>
      <c r="G106" s="124" t="s">
        <v>606</v>
      </c>
    </row>
    <row r="107" spans="1:7" ht="25.5" thickTop="1" thickBot="1" x14ac:dyDescent="0.5">
      <c r="A107" s="230"/>
      <c r="B107" s="189"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193"/>
      <c r="F107" s="124" t="s">
        <v>490</v>
      </c>
      <c r="G107" s="124" t="s">
        <v>490</v>
      </c>
    </row>
    <row r="108" spans="1:7" ht="43" customHeight="1" thickTop="1" thickBot="1" x14ac:dyDescent="0.5">
      <c r="A108" s="228" t="s">
        <v>154</v>
      </c>
      <c r="B108" s="147" t="s">
        <v>601</v>
      </c>
      <c r="C108" s="177"/>
      <c r="F108" s="124" t="s">
        <v>490</v>
      </c>
      <c r="G108" s="124" t="s">
        <v>490</v>
      </c>
    </row>
    <row r="109" spans="1:7" ht="136.5" customHeight="1" thickTop="1" x14ac:dyDescent="0.45">
      <c r="A109" s="215" t="str">
        <f>Text!A109</f>
        <v>What is this section?</v>
      </c>
      <c r="B109" s="135"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179"/>
      <c r="F109" s="124" t="s">
        <v>490</v>
      </c>
      <c r="G109" s="124" t="s">
        <v>490</v>
      </c>
    </row>
    <row r="110" spans="1:7" ht="153" customHeight="1" x14ac:dyDescent="0.45">
      <c r="A110" s="215" t="str">
        <f>Text!A110</f>
        <v>What expenditure is to be reported?</v>
      </c>
      <c r="B110" s="135" t="str">
        <f>Text!B110</f>
        <v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v>
      </c>
      <c r="C110" s="179"/>
      <c r="F110" s="124" t="s">
        <v>490</v>
      </c>
      <c r="G110" s="124" t="s">
        <v>490</v>
      </c>
    </row>
    <row r="111" spans="1:7" ht="67.5" customHeight="1" x14ac:dyDescent="0.45">
      <c r="A111" s="215" t="str">
        <f>Text!A111</f>
        <v>How is legal services panel expenditure reported?</v>
      </c>
      <c r="B111" s="135" t="str">
        <f>Text!B111</f>
        <v xml:space="preserve">
The figures must be in whole dollar amounts, GST exclusive. Figures including cents will not be accepted. If there was no expenditure, enter '0' for a value of $0.
</v>
      </c>
      <c r="C111" s="179"/>
      <c r="F111" s="124" t="s">
        <v>490</v>
      </c>
      <c r="G111" s="124" t="s">
        <v>490</v>
      </c>
    </row>
    <row r="112" spans="1:7" ht="33" customHeight="1" thickBot="1" x14ac:dyDescent="0.5">
      <c r="A112" s="215"/>
      <c r="B112" s="180"/>
      <c r="C112" s="179"/>
      <c r="F112" s="124" t="s">
        <v>490</v>
      </c>
      <c r="G112" s="124" t="s">
        <v>490</v>
      </c>
    </row>
    <row r="113" spans="1:7" ht="25.5" thickTop="1" thickBot="1" x14ac:dyDescent="0.5">
      <c r="A113" s="229"/>
      <c r="B113" s="236" t="str">
        <f>IF($B$107&lt;&gt;"Proceed below","",Text!B113)</f>
        <v>Please confirm you have read and understood the Legal Services Panels explainer</v>
      </c>
      <c r="C113" s="113" t="s">
        <v>141</v>
      </c>
      <c r="D113" s="123" t="str">
        <f>IF(AND(B107="Proceed below",C113=""),"E","")</f>
        <v/>
      </c>
      <c r="E113" s="123" t="str">
        <f>IF(B113=Text!B113,"E","")</f>
        <v>E</v>
      </c>
      <c r="F113" s="124" t="s">
        <v>612</v>
      </c>
      <c r="G113" s="124" t="s">
        <v>605</v>
      </c>
    </row>
    <row r="114" spans="1:7" ht="25.5" thickTop="1" thickBot="1" x14ac:dyDescent="0.5">
      <c r="A114" s="230"/>
      <c r="B114" s="189" t="str">
        <f>IF($B$107&lt;&gt;"Proceed below","",IF($C$113="Yes","Proceed below",IF($C$113="No","Please contact OLSC for assistance","Read the explainer then select 'Yes' or 'No' from the drop down list")))</f>
        <v>Proceed below</v>
      </c>
      <c r="C114" s="193"/>
      <c r="F114" s="124" t="s">
        <v>490</v>
      </c>
      <c r="G114" s="124" t="s">
        <v>490</v>
      </c>
    </row>
    <row r="115" spans="1:7" ht="37" customHeight="1" thickTop="1" thickBot="1" x14ac:dyDescent="0.5">
      <c r="A115" s="228" t="s">
        <v>154</v>
      </c>
      <c r="B115" s="147" t="s">
        <v>602</v>
      </c>
      <c r="C115" s="177"/>
      <c r="F115" s="124" t="s">
        <v>490</v>
      </c>
      <c r="G115" s="124" t="s">
        <v>490</v>
      </c>
    </row>
    <row r="116" spans="1:7" ht="25.5" thickTop="1" thickBot="1" x14ac:dyDescent="0.5">
      <c r="A116" s="221"/>
      <c r="B116" s="234" t="str">
        <f>Text!B116</f>
        <v>Whole of Australian Government Legal Services Panel</v>
      </c>
      <c r="C116" s="196"/>
      <c r="F116" s="124" t="s">
        <v>490</v>
      </c>
      <c r="G116" s="124" t="s">
        <v>490</v>
      </c>
    </row>
    <row r="117" spans="1:7" ht="25.5" thickTop="1" thickBot="1" x14ac:dyDescent="0.5">
      <c r="A117" s="229"/>
      <c r="B117" s="183" t="str">
        <f>Text!B117</f>
        <v>Does your entity participate in the Whole of Australian Government Legal Services Panel?</v>
      </c>
      <c r="C117" s="112" t="str">
        <f>IF($B$114&lt;&gt;"Proceed below","",INDEX(onthepanel,MATCH($C$6,agencyname,0)))</f>
        <v>Yes</v>
      </c>
      <c r="D117" s="123" t="str">
        <f>IF($B$114&lt;&gt;"Proceed below","",IF(C123&lt;&gt;"Check","",IF($C$117&lt;&gt;"","C","D")))</f>
        <v>C</v>
      </c>
      <c r="F117" s="124" t="s">
        <v>612</v>
      </c>
      <c r="G117" s="124" t="s">
        <v>611</v>
      </c>
    </row>
    <row r="118" spans="1:7" ht="25.5" thickTop="1" thickBot="1" x14ac:dyDescent="0.5">
      <c r="A118" s="221"/>
      <c r="B118" s="234" t="str">
        <f>Text!B118</f>
        <v>Provision of Tax Technical Legal Services Panel</v>
      </c>
      <c r="C118" s="178"/>
      <c r="F118" s="124" t="s">
        <v>490</v>
      </c>
      <c r="G118" s="124" t="s">
        <v>490</v>
      </c>
    </row>
    <row r="119" spans="1:7" ht="25.5" thickTop="1" thickBot="1" x14ac:dyDescent="0.5">
      <c r="A119" s="229"/>
      <c r="B119" s="183" t="str">
        <f>Text!B119</f>
        <v>Total value of professional fee expenditure on Provision of Tax Technical Legal Services Panel for 2022-23</v>
      </c>
      <c r="C119" s="114">
        <v>0</v>
      </c>
      <c r="D119" s="123" t="str">
        <f>IF($B$114&lt;&gt;"Proceed below","",IF(AND($C$123&lt;&gt;"Check",C119=""),"E",IF(AND($C$123&lt;&gt;"Check",C119&lt;&gt;""),"",IF(NOT(ISNUMBER(C119)),"D",IF(AND(INT(C119)=C119,C119&lt;&gt;"",C119&gt;=0),"C","D")))))</f>
        <v>C</v>
      </c>
      <c r="F119" s="124" t="s">
        <v>612</v>
      </c>
      <c r="G119" s="124" t="s">
        <v>490</v>
      </c>
    </row>
    <row r="120" spans="1:7" ht="25.5" thickTop="1" thickBot="1" x14ac:dyDescent="0.5">
      <c r="A120" s="221"/>
      <c r="B120" s="234" t="str">
        <f>Text!B120</f>
        <v>ACCC/AER Competition and Consumer Law Panel 2019</v>
      </c>
      <c r="C120" s="178"/>
      <c r="F120" s="124" t="s">
        <v>490</v>
      </c>
      <c r="G120" s="124" t="s">
        <v>490</v>
      </c>
    </row>
    <row r="121" spans="1:7" ht="25.5" thickTop="1" thickBot="1" x14ac:dyDescent="0.5">
      <c r="A121" s="229"/>
      <c r="B121" s="183" t="str">
        <f>Text!B121</f>
        <v>Total value of professional fee expenditure on ACCC/AER Competition and Consumer Panel 2019 for 2022-23</v>
      </c>
      <c r="C121" s="114">
        <v>0</v>
      </c>
      <c r="D121" s="123" t="str">
        <f>IF($B$114&lt;&gt;"Proceed below","",IF(AND($C$123&lt;&gt;"Check",C121=""),"E",IF(AND($C$123&lt;&gt;"Check",C121&lt;&gt;""),"",IF(NOT(ISNUMBER(C121)),"D",IF(AND(INT(C121)=C121,C121&lt;&gt;"",C121&gt;=0),"C","D")))))</f>
        <v>C</v>
      </c>
      <c r="F121" s="124" t="s">
        <v>612</v>
      </c>
      <c r="G121" s="124" t="s">
        <v>490</v>
      </c>
    </row>
    <row r="122" spans="1:7" ht="25.5" thickTop="1" thickBot="1" x14ac:dyDescent="0.5">
      <c r="A122" s="229"/>
      <c r="B122" s="188"/>
      <c r="C122" s="195"/>
      <c r="F122" s="124" t="s">
        <v>490</v>
      </c>
      <c r="G122" s="124" t="s">
        <v>490</v>
      </c>
    </row>
    <row r="123" spans="1:7" ht="25.5" thickTop="1" thickBot="1" x14ac:dyDescent="0.5">
      <c r="A123" s="229"/>
      <c r="B123" s="236" t="str">
        <f>IF($B$114="Proceed below",Text!B123,"")</f>
        <v>Check details to proceed</v>
      </c>
      <c r="C123" s="113" t="s">
        <v>555</v>
      </c>
      <c r="D123" s="123" t="str">
        <f>IF(AND(B114="Proceed below",C119&lt;&gt;"",C121&lt;&gt;"",C123=""),"E","")</f>
        <v/>
      </c>
      <c r="E123" s="123" t="str">
        <f>IF(B123="Check details to proceed","O","")</f>
        <v>O</v>
      </c>
      <c r="F123" s="124" t="s">
        <v>612</v>
      </c>
      <c r="G123" s="124" t="s">
        <v>606</v>
      </c>
    </row>
    <row r="124" spans="1:7" ht="25.5" thickTop="1" thickBot="1" x14ac:dyDescent="0.5">
      <c r="A124" s="230"/>
      <c r="B124" s="189"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below</v>
      </c>
      <c r="C124" s="193"/>
      <c r="F124" s="124" t="s">
        <v>490</v>
      </c>
      <c r="G124" s="124" t="s">
        <v>490</v>
      </c>
    </row>
    <row r="125" spans="1:7" ht="41.15" customHeight="1" thickTop="1" thickBot="1" x14ac:dyDescent="0.5">
      <c r="A125" s="229"/>
      <c r="B125" s="238" t="str">
        <f>Text!B125</f>
        <v>Panel fee</v>
      </c>
      <c r="C125" s="179"/>
      <c r="F125" s="124" t="s">
        <v>490</v>
      </c>
      <c r="G125" s="124" t="s">
        <v>490</v>
      </c>
    </row>
    <row r="126" spans="1:7" ht="25.5" thickTop="1" thickBot="1" x14ac:dyDescent="0.5">
      <c r="A126" s="229"/>
      <c r="B126" s="183" t="str">
        <f>Text!B126</f>
        <v>What was your entity's Panel fee for 2022-23?</v>
      </c>
      <c r="C126" s="116">
        <f>IF($B$124&lt;&gt;"Proceed below","",INDEX(panelfee,MATCH($C$6,agencyname,0)))</f>
        <v>724.40114028360006</v>
      </c>
      <c r="D126" s="123" t="str">
        <f>IF($B$124&lt;&gt;"Proceed below","",IF($C$131&lt;&gt;"Check","",IF(AND(INT(C126)=C126,C126&lt;&gt;""),"C","D")))</f>
        <v>D</v>
      </c>
      <c r="F126" s="124" t="s">
        <v>612</v>
      </c>
      <c r="G126" s="124" t="s">
        <v>611</v>
      </c>
    </row>
    <row r="127" spans="1:7" ht="25.5" thickTop="1" thickBot="1" x14ac:dyDescent="0.5">
      <c r="A127" s="229"/>
      <c r="B127" s="238" t="str">
        <f>Text!B127</f>
        <v>Panel flexibility mechanisms</v>
      </c>
      <c r="C127" s="179"/>
      <c r="F127" s="124" t="s">
        <v>490</v>
      </c>
      <c r="G127" s="124" t="s">
        <v>490</v>
      </c>
    </row>
    <row r="128" spans="1:7" ht="25.5" thickTop="1" thickBot="1" x14ac:dyDescent="0.5">
      <c r="A128" s="229"/>
      <c r="B128" s="183" t="str">
        <f>Text!B128</f>
        <v>Professional Fees for work done by non-Panel firms as part of 10% off-Panel allowance</v>
      </c>
      <c r="C128" s="114">
        <v>0</v>
      </c>
      <c r="D128" s="123" t="str">
        <f>IF($B$124&lt;&gt;"Proceed below","",IF(AND($C$131&lt;&gt;"Check",C128=""),"E",IF(AND($C$131&lt;&gt;"Check",C128&lt;&gt;""),"",IF(NOT(ISNUMBER(C128)),"D",IF(AND(INT(C128)=C128,C128&lt;&gt;"",C128&gt;=0),"C","D")))))</f>
        <v>C</v>
      </c>
      <c r="F128" s="124" t="s">
        <v>612</v>
      </c>
      <c r="G128" s="124" t="s">
        <v>490</v>
      </c>
    </row>
    <row r="129" spans="1:7" ht="25.5" thickTop="1" thickBot="1" x14ac:dyDescent="0.5">
      <c r="A129" s="229"/>
      <c r="B129" s="183" t="str">
        <f>Text!B129</f>
        <v>Professional Fees for work done by non-Panel firms with an Exemption from AGD</v>
      </c>
      <c r="C129" s="114">
        <v>0</v>
      </c>
      <c r="D129" s="123" t="str">
        <f>IF($B$124&lt;&gt;"Proceed below","",IF(AND($C$131&lt;&gt;"Check",C129=""),"E",IF(AND($C$131&lt;&gt;"Check",C129&lt;&gt;""),"",IF(NOT(ISNUMBER(C129)),"D",IF(AND(INT(C129)=C129,C129&lt;&gt;"",C129&gt;=0),"C","D")))))</f>
        <v>C</v>
      </c>
      <c r="F129" s="124" t="s">
        <v>612</v>
      </c>
      <c r="G129" s="124" t="s">
        <v>490</v>
      </c>
    </row>
    <row r="130" spans="1:7" ht="25.5" thickTop="1" thickBot="1" x14ac:dyDescent="0.5">
      <c r="A130" s="229"/>
      <c r="B130" s="188"/>
      <c r="C130" s="195"/>
      <c r="F130" s="124" t="s">
        <v>490</v>
      </c>
      <c r="G130" s="124" t="s">
        <v>490</v>
      </c>
    </row>
    <row r="131" spans="1:7" ht="25.5" thickTop="1" thickBot="1" x14ac:dyDescent="0.5">
      <c r="A131" s="229"/>
      <c r="B131" s="236" t="str">
        <f>IF($B$114="Proceed below",Text!B131,"")</f>
        <v>Check details to proceed</v>
      </c>
      <c r="C131" s="113" t="s">
        <v>555</v>
      </c>
      <c r="D131" s="123" t="str">
        <f>IF(AND(B124="Proceed below",C128&lt;&gt;"",C129&lt;&gt;"",C131=""),"E","")</f>
        <v/>
      </c>
      <c r="E131" s="123" t="str">
        <f>IF(B131="Check details to proceed","O","")</f>
        <v>O</v>
      </c>
      <c r="F131" s="124" t="s">
        <v>612</v>
      </c>
      <c r="G131" s="124" t="s">
        <v>606</v>
      </c>
    </row>
    <row r="132" spans="1:7" ht="25.5" thickTop="1" thickBot="1" x14ac:dyDescent="0.5">
      <c r="A132" s="230"/>
      <c r="B132" s="189"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193"/>
      <c r="F132" s="124" t="s">
        <v>490</v>
      </c>
      <c r="G132" s="124" t="s">
        <v>490</v>
      </c>
    </row>
    <row r="133" spans="1:7" ht="43" customHeight="1" thickTop="1" thickBot="1" x14ac:dyDescent="0.5">
      <c r="A133" s="228" t="s">
        <v>157</v>
      </c>
      <c r="B133" s="147" t="s">
        <v>158</v>
      </c>
      <c r="C133" s="177"/>
      <c r="F133" s="124" t="s">
        <v>490</v>
      </c>
      <c r="G133" s="124" t="s">
        <v>490</v>
      </c>
    </row>
    <row r="134" spans="1:7" ht="166.5" customHeight="1" thickTop="1" x14ac:dyDescent="0.45">
      <c r="A134" s="215" t="str">
        <f>Text!A134</f>
        <v>What is this section?</v>
      </c>
      <c r="B134" s="135"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v>
      </c>
      <c r="C134" s="179"/>
      <c r="F134" s="124" t="s">
        <v>490</v>
      </c>
      <c r="G134" s="124" t="s">
        <v>490</v>
      </c>
    </row>
    <row r="135" spans="1:7" ht="93.65" customHeight="1" x14ac:dyDescent="0.45">
      <c r="A135" s="215" t="str">
        <f>Text!A135</f>
        <v>What are other government providers?</v>
      </c>
      <c r="B135" s="135"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179"/>
      <c r="F135" s="124" t="s">
        <v>490</v>
      </c>
      <c r="G135" s="124" t="s">
        <v>490</v>
      </c>
    </row>
    <row r="136" spans="1:7" ht="72.75" customHeight="1" x14ac:dyDescent="0.45">
      <c r="A136" s="215" t="str">
        <f>Text!A136</f>
        <v>What are overseas providers?</v>
      </c>
      <c r="B136" s="135"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179"/>
      <c r="F136" s="124" t="s">
        <v>490</v>
      </c>
      <c r="G136" s="124" t="s">
        <v>490</v>
      </c>
    </row>
    <row r="137" spans="1:7" ht="69.75" customHeight="1" x14ac:dyDescent="0.45">
      <c r="A137" s="215" t="str">
        <f>Text!A137</f>
        <v>What are domestic providers?</v>
      </c>
      <c r="B137" s="135" t="str">
        <f>Text!B137</f>
        <v xml:space="preserve">
Domestic external legal services providers include solicitors and similar service providers, including government legal services providers such as the Austrailan Government Solicitor (AGS), that conduct their business in Australia. 
</v>
      </c>
      <c r="C137" s="179"/>
      <c r="F137" s="124" t="s">
        <v>490</v>
      </c>
      <c r="G137" s="124" t="s">
        <v>490</v>
      </c>
    </row>
    <row r="138" spans="1:7" ht="74.25" customHeight="1" x14ac:dyDescent="0.45">
      <c r="A138" s="215" t="str">
        <f>Text!A138</f>
        <v>How is expenditure on professional fees reported?</v>
      </c>
      <c r="B138" s="135" t="str">
        <f>Text!B138</f>
        <v xml:space="preserve">
The figures must be whole dollar amounts, GST exclusive. Figures including cents will not be accepted. If there was no expenditure, enter '0' for a value of $0.
</v>
      </c>
      <c r="C138" s="179"/>
      <c r="F138" s="124" t="s">
        <v>490</v>
      </c>
      <c r="G138" s="124" t="s">
        <v>490</v>
      </c>
    </row>
    <row r="139" spans="1:7" ht="318.75" customHeight="1" x14ac:dyDescent="0.45">
      <c r="A139" s="215" t="str">
        <f>Text!A139</f>
        <v>Additional guidance for domestic providers</v>
      </c>
      <c r="B139" s="135" t="str">
        <f>Text!B139</f>
        <v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179"/>
      <c r="F139" s="124" t="s">
        <v>490</v>
      </c>
      <c r="G139" s="124" t="s">
        <v>490</v>
      </c>
    </row>
    <row r="140" spans="1:7" ht="23.15" customHeight="1" thickBot="1" x14ac:dyDescent="0.5">
      <c r="A140" s="215"/>
      <c r="B140" s="180"/>
      <c r="C140" s="179"/>
      <c r="F140" s="124" t="s">
        <v>490</v>
      </c>
      <c r="G140" s="124" t="s">
        <v>490</v>
      </c>
    </row>
    <row r="141" spans="1:7" ht="25.5" thickTop="1" thickBot="1" x14ac:dyDescent="0.5">
      <c r="A141" s="229"/>
      <c r="B141" s="236" t="str">
        <f>IF($B$132&lt;&gt;"Proceed below","",Text!B141)</f>
        <v>Please confirm that you have read and understood the Professional Fees explainer</v>
      </c>
      <c r="C141" s="113" t="s">
        <v>141</v>
      </c>
      <c r="D141" s="123" t="str">
        <f>IF(AND(B132="Proceed below",C141=""),"E","")</f>
        <v/>
      </c>
      <c r="E141" s="123" t="str">
        <f>IF(B141=Text!B141,"E","")</f>
        <v>E</v>
      </c>
      <c r="F141" s="124" t="s">
        <v>612</v>
      </c>
      <c r="G141" s="124" t="s">
        <v>605</v>
      </c>
    </row>
    <row r="142" spans="1:7" ht="25.5" thickTop="1" thickBot="1" x14ac:dyDescent="0.5">
      <c r="A142" s="230"/>
      <c r="B142" s="189" t="str">
        <f>IF($B$132&lt;&gt;"Proceed below","",IF($C$141="Yes","Proceed below",IF($C$141="No","Please contact OLSC for assistance","Read the explainer then select 'Yes' or 'No' from the drop down list")))</f>
        <v>Proceed below</v>
      </c>
      <c r="C142" s="193"/>
      <c r="F142" s="124" t="s">
        <v>490</v>
      </c>
      <c r="G142" s="124" t="s">
        <v>490</v>
      </c>
    </row>
    <row r="143" spans="1:7" ht="37" customHeight="1" thickTop="1" thickBot="1" x14ac:dyDescent="0.5">
      <c r="A143" s="228" t="s">
        <v>159</v>
      </c>
      <c r="B143" s="147" t="s">
        <v>160</v>
      </c>
      <c r="C143" s="177"/>
      <c r="F143" s="124" t="s">
        <v>490</v>
      </c>
      <c r="G143" s="124" t="s">
        <v>490</v>
      </c>
    </row>
    <row r="144" spans="1:7" ht="25.5" thickTop="1" thickBot="1" x14ac:dyDescent="0.5">
      <c r="A144" s="229"/>
      <c r="B144" s="238" t="str">
        <f>Text!B144</f>
        <v>Attorney-General's Department (DO NOT INCLUDE PANEL FEE)</v>
      </c>
      <c r="C144" s="179"/>
      <c r="F144" s="124" t="s">
        <v>490</v>
      </c>
      <c r="G144" s="124" t="s">
        <v>490</v>
      </c>
    </row>
    <row r="145" spans="1:7" ht="25.5" thickTop="1" thickBot="1" x14ac:dyDescent="0.5">
      <c r="A145" s="229"/>
      <c r="B145" s="183" t="str">
        <f>Text!B145</f>
        <v>Total value of expenditure</v>
      </c>
      <c r="C145" s="114">
        <v>0</v>
      </c>
      <c r="D145" s="123" t="str">
        <f>IF($B$142&lt;&gt;"Proceed below","",IF(AND($C$151&lt;&gt;"Check",C145=""),"E",IF(AND($C$151&lt;&gt;"Check",C145&lt;&gt;""),"",IF(NOT(ISNUMBER(C145)),"D",IF(AND(INT(C145)=C145,C145&lt;&gt;"",C145&gt;=0),"C","D")))))</f>
        <v>C</v>
      </c>
      <c r="F145" s="124" t="s">
        <v>612</v>
      </c>
      <c r="G145" s="124" t="s">
        <v>490</v>
      </c>
    </row>
    <row r="146" spans="1:7" ht="25.5" thickTop="1" thickBot="1" x14ac:dyDescent="0.5">
      <c r="A146" s="229"/>
      <c r="B146" s="238" t="str">
        <f>Text!B146</f>
        <v>Department of Foreign Affairs and Trade</v>
      </c>
      <c r="C146" s="179"/>
      <c r="F146" s="124" t="s">
        <v>490</v>
      </c>
      <c r="G146" s="124" t="s">
        <v>490</v>
      </c>
    </row>
    <row r="147" spans="1:7" ht="25.5" thickTop="1" thickBot="1" x14ac:dyDescent="0.5">
      <c r="A147" s="229"/>
      <c r="B147" s="183" t="str">
        <f>Text!B147</f>
        <v>Total value of expenditure</v>
      </c>
      <c r="C147" s="114">
        <v>0</v>
      </c>
      <c r="D147" s="123" t="str">
        <f t="shared" ref="D147:D149" si="0">IF($B$142&lt;&gt;"Proceed below","",IF(AND($C$151&lt;&gt;"Check",C147=""),"E",IF(AND($C$151&lt;&gt;"Check",C147&lt;&gt;""),"",IF(NOT(ISNUMBER(C147)),"D",IF(AND(INT(C147)=C147,C147&lt;&gt;"",C147&gt;=0),"C","D")))))</f>
        <v>C</v>
      </c>
      <c r="F147" s="124" t="s">
        <v>612</v>
      </c>
      <c r="G147" s="124" t="s">
        <v>490</v>
      </c>
    </row>
    <row r="148" spans="1:7" ht="25.5" thickTop="1" thickBot="1" x14ac:dyDescent="0.5">
      <c r="A148" s="229"/>
      <c r="B148" s="239" t="str">
        <f>Text!B148</f>
        <v>Office of Parliamentary Counsel</v>
      </c>
      <c r="C148" s="179"/>
      <c r="F148" s="124" t="s">
        <v>490</v>
      </c>
      <c r="G148" s="124" t="s">
        <v>490</v>
      </c>
    </row>
    <row r="149" spans="1:7" ht="25.5" thickTop="1" thickBot="1" x14ac:dyDescent="0.5">
      <c r="A149" s="229"/>
      <c r="B149" s="183" t="str">
        <f>Text!B149</f>
        <v>Total value of expenditure</v>
      </c>
      <c r="C149" s="114">
        <v>0</v>
      </c>
      <c r="D149" s="123" t="str">
        <f t="shared" si="0"/>
        <v>C</v>
      </c>
      <c r="F149" s="124" t="s">
        <v>612</v>
      </c>
      <c r="G149" s="124" t="s">
        <v>490</v>
      </c>
    </row>
    <row r="150" spans="1:7" ht="25.5" thickTop="1" thickBot="1" x14ac:dyDescent="0.5">
      <c r="A150" s="229"/>
      <c r="B150" s="154"/>
      <c r="C150" s="195"/>
      <c r="F150" s="124" t="s">
        <v>490</v>
      </c>
      <c r="G150" s="124" t="s">
        <v>490</v>
      </c>
    </row>
    <row r="151" spans="1:7" ht="25.5" thickTop="1" thickBot="1" x14ac:dyDescent="0.5">
      <c r="A151" s="231"/>
      <c r="B151" s="236" t="str">
        <f>IF($B$142="Proceed below",Text!B151,"")</f>
        <v>Check details to proceed</v>
      </c>
      <c r="C151" s="113" t="s">
        <v>555</v>
      </c>
      <c r="D151" s="123" t="str">
        <f>IF(AND(B142="Proceed below",C147&lt;&gt;"",C149&lt;&gt;"",C151=""),"E","")</f>
        <v/>
      </c>
      <c r="E151" s="123" t="str">
        <f>IF(B151="Check details to proceed","O","")</f>
        <v>O</v>
      </c>
      <c r="F151" s="124" t="s">
        <v>612</v>
      </c>
      <c r="G151" s="124" t="s">
        <v>606</v>
      </c>
    </row>
    <row r="152" spans="1:7" ht="25.5" thickTop="1" thickBot="1" x14ac:dyDescent="0.5">
      <c r="A152" s="230"/>
      <c r="B152" s="197"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198"/>
      <c r="F152" s="124" t="s">
        <v>490</v>
      </c>
      <c r="G152" s="124" t="s">
        <v>490</v>
      </c>
    </row>
    <row r="153" spans="1:7" ht="41.15" customHeight="1" thickTop="1" thickBot="1" x14ac:dyDescent="0.5">
      <c r="A153" s="228" t="s">
        <v>162</v>
      </c>
      <c r="B153" s="147" t="s">
        <v>161</v>
      </c>
      <c r="C153" s="177"/>
      <c r="F153" s="124" t="s">
        <v>490</v>
      </c>
      <c r="G153" s="124" t="s">
        <v>490</v>
      </c>
    </row>
    <row r="154" spans="1:7" ht="25.5" thickTop="1" thickBot="1" x14ac:dyDescent="0.5">
      <c r="A154" s="229"/>
      <c r="B154" s="238" t="str">
        <f>Text!B154</f>
        <v>Overseas firms (single total figure, individual firm names not required)</v>
      </c>
      <c r="C154" s="179"/>
      <c r="F154" s="124" t="s">
        <v>490</v>
      </c>
      <c r="G154" s="124" t="s">
        <v>490</v>
      </c>
    </row>
    <row r="155" spans="1:7" ht="25.5" thickTop="1" thickBot="1" x14ac:dyDescent="0.5">
      <c r="A155" s="229"/>
      <c r="B155" s="183" t="str">
        <f>Text!B155</f>
        <v>Total value of expenditure</v>
      </c>
      <c r="C155" s="114">
        <v>0</v>
      </c>
      <c r="D155" s="123" t="str">
        <f>IF($B$152&lt;&gt;"Proceed below","",IF(AND($C$157&lt;&gt;"Check",C155=""),"E",IF(AND($C$157&lt;&gt;"Check",C155&lt;&gt;""),"",IF(NOT(ISNUMBER(C155)),"D",IF(AND(INT(C155)=C155,C155&lt;&gt;"",C155&gt;=0),"C","D")))))</f>
        <v>C</v>
      </c>
      <c r="F155" s="124" t="s">
        <v>612</v>
      </c>
      <c r="G155" s="124" t="s">
        <v>490</v>
      </c>
    </row>
    <row r="156" spans="1:7" ht="25.5" thickTop="1" thickBot="1" x14ac:dyDescent="0.5">
      <c r="A156" s="229"/>
      <c r="B156" s="154"/>
      <c r="C156" s="199"/>
      <c r="F156" s="124" t="s">
        <v>490</v>
      </c>
      <c r="G156" s="124" t="s">
        <v>490</v>
      </c>
    </row>
    <row r="157" spans="1:7" ht="25.5" thickTop="1" thickBot="1" x14ac:dyDescent="0.5">
      <c r="A157" s="231"/>
      <c r="B157" s="236" t="str">
        <f>IF($B$152="Proceed below",Text!B157,"")</f>
        <v>Check details to proceed</v>
      </c>
      <c r="C157" s="113" t="s">
        <v>555</v>
      </c>
      <c r="D157" s="123" t="str">
        <f>IF(AND(B152="Proceed below",C155&lt;&gt;"",C157=""),"E","")</f>
        <v/>
      </c>
      <c r="E157" s="123" t="str">
        <f>IF(B157="Check details to proceed","O","")</f>
        <v>O</v>
      </c>
      <c r="F157" s="124" t="s">
        <v>612</v>
      </c>
      <c r="G157" s="124" t="s">
        <v>606</v>
      </c>
    </row>
    <row r="158" spans="1:7" ht="25.5" thickTop="1" thickBot="1" x14ac:dyDescent="0.5">
      <c r="A158" s="232"/>
      <c r="B158" s="197"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198"/>
      <c r="F158" s="124" t="s">
        <v>490</v>
      </c>
      <c r="G158" s="124" t="s">
        <v>490</v>
      </c>
    </row>
    <row r="159" spans="1:7" ht="38.15" customHeight="1" thickTop="1" thickBot="1" x14ac:dyDescent="0.5">
      <c r="A159" s="228" t="s">
        <v>164</v>
      </c>
      <c r="B159" s="147" t="s">
        <v>163</v>
      </c>
      <c r="C159" s="177"/>
      <c r="F159" s="124" t="s">
        <v>490</v>
      </c>
      <c r="G159" s="124" t="s">
        <v>490</v>
      </c>
    </row>
    <row r="160" spans="1:7" ht="25.5" thickTop="1" thickBot="1" x14ac:dyDescent="0.5">
      <c r="A160" s="229"/>
      <c r="B160" s="238" t="str">
        <f>Text!B160</f>
        <v>Australian Government Solicitor</v>
      </c>
      <c r="C160" s="179"/>
      <c r="F160" s="124" t="s">
        <v>490</v>
      </c>
      <c r="G160" s="124" t="s">
        <v>490</v>
      </c>
    </row>
    <row r="161" spans="1:7" ht="25.5" thickTop="1" thickBot="1" x14ac:dyDescent="0.5">
      <c r="A161" s="229"/>
      <c r="B161" s="183" t="str">
        <f>Text!B161</f>
        <v>Total value of expenditure</v>
      </c>
      <c r="C161" s="114">
        <v>820503</v>
      </c>
      <c r="D161" s="123" t="str">
        <f>IF($B$158&lt;&gt;"Proceed below","",IF(AND(C163="",C161=""),"E",IF(AND(C163="",C161&lt;&gt;""),"",IF(NOT(ISNUMBER(C161)),"D",IF(AND(INT(C161)=C161,C161&lt;&gt;"",C161&gt;=0),"C","D")))))</f>
        <v>C</v>
      </c>
      <c r="F161" s="124" t="s">
        <v>612</v>
      </c>
      <c r="G161" s="124" t="s">
        <v>490</v>
      </c>
    </row>
    <row r="162" spans="1:7" ht="25.5" thickTop="1" thickBot="1" x14ac:dyDescent="0.5">
      <c r="A162" s="233"/>
      <c r="B162" s="154"/>
      <c r="C162" s="179"/>
      <c r="F162" s="124" t="s">
        <v>490</v>
      </c>
      <c r="G162" s="124" t="s">
        <v>490</v>
      </c>
    </row>
    <row r="163" spans="1:7" ht="25.5" thickTop="1" thickBot="1" x14ac:dyDescent="0.5">
      <c r="A163" s="229"/>
      <c r="B163" s="236" t="str">
        <f>Text!B163</f>
        <v>Is another domestic provider required?</v>
      </c>
      <c r="C163" s="113" t="s">
        <v>141</v>
      </c>
      <c r="D163" s="123" t="str">
        <f>IF(B164="Please select 'Yes' or 'No' from the drop down list","E","")</f>
        <v/>
      </c>
      <c r="E163" s="123" t="str">
        <f>IF($B158&lt;&gt;"Proceed below","",IF(B163="Is another domestic provider required?","E",IF(B163="Please confirm that the details entered into the Entry Form are correct","B","")))</f>
        <v>E</v>
      </c>
      <c r="F163" s="124" t="s">
        <v>612</v>
      </c>
      <c r="G163" s="124" t="s">
        <v>607</v>
      </c>
    </row>
    <row r="164" spans="1:7" ht="25.5" thickTop="1" thickBot="1" x14ac:dyDescent="0.5">
      <c r="A164" s="234" t="str">
        <f>IF(AND(B164="Choose provider from the list",C163="Yes"),"Domestic Provider "&amp;(ROW()-ROW(A$154))/5,"")</f>
        <v>Domestic Provider 2</v>
      </c>
      <c r="B164" s="183"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Choose provider from the list</v>
      </c>
      <c r="C164" s="240" t="s">
        <v>0</v>
      </c>
      <c r="D164" s="12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C</v>
      </c>
      <c r="E164" s="123" t="str">
        <f>IF(B164="Choose provider from the list","H","")</f>
        <v>H</v>
      </c>
      <c r="F164" s="124" t="s">
        <v>612</v>
      </c>
      <c r="G164" s="124" t="s">
        <v>610</v>
      </c>
    </row>
    <row r="165" spans="1:7" ht="25.5" thickTop="1" thickBot="1" x14ac:dyDescent="0.5">
      <c r="A165" s="229"/>
      <c r="B165" s="183" t="str">
        <f>IF(B164&lt;&gt;"Choose provider from the list","",IF(C164&lt;&gt;"PROVIDER NOT LISTED","","Type provider name manually"))</f>
        <v/>
      </c>
      <c r="C165" s="240"/>
      <c r="D165" s="12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s="124" t="s">
        <v>612</v>
      </c>
      <c r="G165" s="124" t="s">
        <v>490</v>
      </c>
    </row>
    <row r="166" spans="1:7" ht="25.5" thickTop="1" thickBot="1" x14ac:dyDescent="0.5">
      <c r="A166" s="229"/>
      <c r="B166" s="183" t="str">
        <f>IF(B164&lt;&gt;"Choose provider from the list","","Total value of expenditure")</f>
        <v>Total value of expenditure</v>
      </c>
      <c r="C166" s="114">
        <v>81149</v>
      </c>
      <c r="D166" s="12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C</v>
      </c>
      <c r="F166" s="124" t="s">
        <v>612</v>
      </c>
      <c r="G166" s="124" t="s">
        <v>490</v>
      </c>
    </row>
    <row r="167" spans="1:7" ht="25.5" thickTop="1" thickBot="1" x14ac:dyDescent="0.5">
      <c r="A167" s="229"/>
      <c r="B167" s="154"/>
      <c r="C167" s="179"/>
      <c r="F167" s="124" t="s">
        <v>490</v>
      </c>
      <c r="G167" s="124" t="s">
        <v>490</v>
      </c>
    </row>
    <row r="168" spans="1:7" ht="25.5" thickTop="1" thickBot="1" x14ac:dyDescent="0.5">
      <c r="A168" s="229"/>
      <c r="B168" s="23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Is another domestic provider required?</v>
      </c>
      <c r="C168" s="113" t="s">
        <v>141</v>
      </c>
      <c r="D168" s="123" t="str">
        <f>IF(OR(B169="Please select 'Yes' or 'No' from the drop down list",B169="Please select 'I confirm' or 'I do not confirm' from the drop down list"),"E","")</f>
        <v/>
      </c>
      <c r="E168" s="123" t="str">
        <f>IF(B168="Is another domestic provider required?","E",IF(B168="Please confirm that the details entered into the Entry Form are correct","B",""))</f>
        <v>E</v>
      </c>
      <c r="F168" s="124" t="s">
        <v>612</v>
      </c>
      <c r="G168" s="124" t="s">
        <v>607</v>
      </c>
    </row>
    <row r="169" spans="1:7" ht="25.5" thickTop="1" thickBot="1" x14ac:dyDescent="0.5">
      <c r="A169" s="234" t="str">
        <f>IF(AND(B169="Choose provider from the list",C168="Yes"),"Domestic Provider "&amp;(ROW()-ROW(A$154))/5,"")</f>
        <v>Domestic Provider 3</v>
      </c>
      <c r="B169" s="183"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Choose provider from the list</v>
      </c>
      <c r="C169" s="240" t="s">
        <v>2</v>
      </c>
      <c r="D169" s="12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C</v>
      </c>
      <c r="E169" s="123" t="str">
        <f>IF(B169="Choose provider from the list","H","")</f>
        <v>H</v>
      </c>
      <c r="F169" s="124" t="s">
        <v>612</v>
      </c>
      <c r="G169" s="124" t="s">
        <v>610</v>
      </c>
    </row>
    <row r="170" spans="1:7" ht="25.5" thickTop="1" thickBot="1" x14ac:dyDescent="0.5">
      <c r="A170" s="229"/>
      <c r="B170" s="183" t="str">
        <f>IF(B169&lt;&gt;"Choose provider from the list","",IF(C169&lt;&gt;"PROVIDER NOT LISTED","","Type provider name manually"))</f>
        <v/>
      </c>
      <c r="C170" s="240"/>
      <c r="D170" s="12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s="124" t="s">
        <v>612</v>
      </c>
      <c r="G170" s="124" t="s">
        <v>490</v>
      </c>
    </row>
    <row r="171" spans="1:7" ht="25.5" thickTop="1" thickBot="1" x14ac:dyDescent="0.5">
      <c r="A171" s="229"/>
      <c r="B171" s="183"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Total value of expenditure</v>
      </c>
      <c r="C171" s="114">
        <v>136005</v>
      </c>
      <c r="D171" s="12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C</v>
      </c>
      <c r="F171" s="124" t="s">
        <v>612</v>
      </c>
      <c r="G171" s="124" t="s">
        <v>490</v>
      </c>
    </row>
    <row r="172" spans="1:7" ht="25.5" thickTop="1" thickBot="1" x14ac:dyDescent="0.5">
      <c r="A172" s="229"/>
      <c r="B172" s="154"/>
      <c r="C172" s="179"/>
      <c r="F172" s="124" t="s">
        <v>490</v>
      </c>
      <c r="G172" s="124" t="s">
        <v>490</v>
      </c>
    </row>
    <row r="173" spans="1:7" ht="25.5" thickTop="1" thickBot="1" x14ac:dyDescent="0.5">
      <c r="A173" s="229"/>
      <c r="B173" s="23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Is another domestic provider required?</v>
      </c>
      <c r="C173" s="113" t="s">
        <v>141</v>
      </c>
      <c r="D173" s="123" t="str">
        <f>IF(OR(B174="Please select 'Yes' or 'No' from the drop down list",B174="Please select 'I confirm' or 'I do not confirm' from the drop down list"),"E","")</f>
        <v/>
      </c>
      <c r="E173" s="123" t="str">
        <f>IF(B173="Is another domestic provider required?","E",IF(B173="Please confirm that the details entered into the Entry Form are correct","B",""))</f>
        <v>E</v>
      </c>
      <c r="F173" s="124" t="s">
        <v>612</v>
      </c>
      <c r="G173" s="124" t="s">
        <v>607</v>
      </c>
    </row>
    <row r="174" spans="1:7" ht="25.5" thickTop="1" thickBot="1" x14ac:dyDescent="0.5">
      <c r="A174" s="234" t="str">
        <f>IF(AND(B174="Choose provider from the list",C173="Yes"),"Domestic Provider "&amp;(ROW()-ROW(A$154))/5,"")</f>
        <v>Domestic Provider 4</v>
      </c>
      <c r="B174" s="183"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Choose provider from the list</v>
      </c>
      <c r="C174" s="240" t="s">
        <v>81</v>
      </c>
      <c r="D174" s="12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C</v>
      </c>
      <c r="E174" s="123" t="str">
        <f>IF(B174="Choose provider from the list","H","")</f>
        <v>H</v>
      </c>
      <c r="F174" s="124" t="s">
        <v>612</v>
      </c>
      <c r="G174" s="124" t="s">
        <v>610</v>
      </c>
    </row>
    <row r="175" spans="1:7" ht="25.5" thickTop="1" thickBot="1" x14ac:dyDescent="0.5">
      <c r="A175" s="229"/>
      <c r="B175" s="183" t="str">
        <f>IF(B174&lt;&gt;"Choose provider from the list","",IF(C174&lt;&gt;"PROVIDER NOT LISTED","","Type provider name manually"))</f>
        <v/>
      </c>
      <c r="C175" s="240"/>
      <c r="D175" s="12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s="124" t="s">
        <v>612</v>
      </c>
      <c r="G175" s="124" t="s">
        <v>490</v>
      </c>
    </row>
    <row r="176" spans="1:7" ht="25.5" thickTop="1" thickBot="1" x14ac:dyDescent="0.5">
      <c r="A176" s="229"/>
      <c r="B176" s="183"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Total value of expenditure</v>
      </c>
      <c r="C176" s="114">
        <v>77842</v>
      </c>
      <c r="D176" s="12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C</v>
      </c>
      <c r="F176" s="124" t="s">
        <v>612</v>
      </c>
      <c r="G176" s="124" t="s">
        <v>490</v>
      </c>
    </row>
    <row r="177" spans="1:7" ht="25.5" thickTop="1" thickBot="1" x14ac:dyDescent="0.5">
      <c r="A177" s="229"/>
      <c r="B177" s="154"/>
      <c r="C177" s="179"/>
      <c r="F177" s="124" t="s">
        <v>490</v>
      </c>
      <c r="G177" s="124" t="s">
        <v>490</v>
      </c>
    </row>
    <row r="178" spans="1:7" ht="25.5" thickTop="1" thickBot="1" x14ac:dyDescent="0.5">
      <c r="A178" s="229"/>
      <c r="B178" s="23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Is another domestic provider required?</v>
      </c>
      <c r="C178" s="113" t="s">
        <v>141</v>
      </c>
      <c r="D178" s="123" t="str">
        <f>IF(OR(B179="Please select 'Yes' or 'No' from the drop down list",B179="Please select 'I confirm' or 'I do not confirm' from the drop down list"),"E","")</f>
        <v/>
      </c>
      <c r="E178" s="123" t="str">
        <f>IF(B178="Is another domestic provider required?","E",IF(B178="Please confirm that the details entered into the Entry Form are correct","B",""))</f>
        <v>E</v>
      </c>
      <c r="F178" s="124" t="s">
        <v>612</v>
      </c>
      <c r="G178" s="124" t="s">
        <v>607</v>
      </c>
    </row>
    <row r="179" spans="1:7" ht="25.5" thickTop="1" thickBot="1" x14ac:dyDescent="0.5">
      <c r="A179" s="234" t="str">
        <f>IF(AND(B179="Choose provider from the list",C178="Yes"),"Domestic Provider "&amp;(ROW()-ROW(A$154))/5,"")</f>
        <v>Domestic Provider 5</v>
      </c>
      <c r="B179" s="183"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Choose provider from the list</v>
      </c>
      <c r="C179" s="240" t="s">
        <v>8</v>
      </c>
      <c r="D179" s="12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C</v>
      </c>
      <c r="E179" s="123" t="str">
        <f>IF(B179="Choose provider from the list","H","")</f>
        <v>H</v>
      </c>
      <c r="F179" s="124" t="s">
        <v>612</v>
      </c>
      <c r="G179" s="124" t="s">
        <v>610</v>
      </c>
    </row>
    <row r="180" spans="1:7" ht="25.5" thickTop="1" thickBot="1" x14ac:dyDescent="0.5">
      <c r="A180" s="229"/>
      <c r="B180" s="183" t="str">
        <f>IF(B179&lt;&gt;"Choose provider from the list","",IF(C179&lt;&gt;"PROVIDER NOT LISTED","","Type provider name manually"))</f>
        <v/>
      </c>
      <c r="C180" s="240"/>
      <c r="D180" s="12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s="124" t="s">
        <v>612</v>
      </c>
      <c r="G180" s="124" t="s">
        <v>490</v>
      </c>
    </row>
    <row r="181" spans="1:7" ht="25.5" thickTop="1" thickBot="1" x14ac:dyDescent="0.5">
      <c r="A181" s="229"/>
      <c r="B181" s="183"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Total value of expenditure</v>
      </c>
      <c r="C181" s="114">
        <v>5500</v>
      </c>
      <c r="D181" s="12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C</v>
      </c>
      <c r="F181" s="124" t="s">
        <v>612</v>
      </c>
      <c r="G181" s="124" t="s">
        <v>490</v>
      </c>
    </row>
    <row r="182" spans="1:7" ht="25.5" thickTop="1" thickBot="1" x14ac:dyDescent="0.5">
      <c r="A182" s="229"/>
      <c r="B182" s="154"/>
      <c r="C182" s="179"/>
      <c r="F182" s="124" t="s">
        <v>490</v>
      </c>
      <c r="G182" s="124" t="s">
        <v>490</v>
      </c>
    </row>
    <row r="183" spans="1:7" ht="25.5" thickTop="1" thickBot="1" x14ac:dyDescent="0.5">
      <c r="A183" s="229"/>
      <c r="B183" s="23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Is another domestic provider required?</v>
      </c>
      <c r="C183" s="113" t="s">
        <v>141</v>
      </c>
      <c r="D183" s="123" t="str">
        <f>IF(OR(B184="Please select 'Yes' or 'No' from the drop down list",B184="Please select 'I confirm' or 'I do not confirm' from the drop down list"),"E","")</f>
        <v/>
      </c>
      <c r="E183" s="123" t="str">
        <f>IF(B183="Is another domestic provider required?","E",IF(B183="Please confirm that the details entered into the Entry Form are correct","B",""))</f>
        <v>E</v>
      </c>
      <c r="F183" s="124" t="s">
        <v>612</v>
      </c>
      <c r="G183" s="124" t="s">
        <v>607</v>
      </c>
    </row>
    <row r="184" spans="1:7" ht="25.5" thickTop="1" thickBot="1" x14ac:dyDescent="0.5">
      <c r="A184" s="234" t="str">
        <f>IF(AND(B184="Choose provider from the list",C183="Yes"),"Domestic Provider "&amp;(ROW()-ROW(A$154))/5,"")</f>
        <v>Domestic Provider 6</v>
      </c>
      <c r="B184" s="183"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Choose provider from the list</v>
      </c>
      <c r="C184" s="240" t="s">
        <v>14</v>
      </c>
      <c r="D184" s="12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C</v>
      </c>
      <c r="E184" s="123" t="str">
        <f>IF(B184="Choose provider from the list","H","")</f>
        <v>H</v>
      </c>
      <c r="F184" s="124" t="s">
        <v>612</v>
      </c>
      <c r="G184" s="124" t="s">
        <v>610</v>
      </c>
    </row>
    <row r="185" spans="1:7" ht="25.5" thickTop="1" thickBot="1" x14ac:dyDescent="0.5">
      <c r="A185" s="229"/>
      <c r="B185" s="183" t="str">
        <f>IF(B184&lt;&gt;"Choose provider from the list","",IF(C184&lt;&gt;"PROVIDER NOT LISTED","","Type provider name manually"))</f>
        <v/>
      </c>
      <c r="C185" s="240"/>
      <c r="D185" s="12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s="124" t="s">
        <v>612</v>
      </c>
      <c r="G185" s="124" t="s">
        <v>490</v>
      </c>
    </row>
    <row r="186" spans="1:7" ht="25.5" thickTop="1" thickBot="1" x14ac:dyDescent="0.5">
      <c r="A186" s="229"/>
      <c r="B186" s="183"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Total value of expenditure</v>
      </c>
      <c r="C186" s="114">
        <v>2718</v>
      </c>
      <c r="D186" s="12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C</v>
      </c>
      <c r="F186" s="124" t="s">
        <v>612</v>
      </c>
      <c r="G186" s="124" t="s">
        <v>490</v>
      </c>
    </row>
    <row r="187" spans="1:7" ht="25.5" thickTop="1" thickBot="1" x14ac:dyDescent="0.5">
      <c r="A187" s="229"/>
      <c r="B187" s="154"/>
      <c r="C187" s="179"/>
      <c r="F187" s="124" t="s">
        <v>490</v>
      </c>
      <c r="G187" s="124" t="s">
        <v>490</v>
      </c>
    </row>
    <row r="188" spans="1:7" ht="25.5" thickTop="1" thickBot="1" x14ac:dyDescent="0.5">
      <c r="A188" s="229"/>
      <c r="B188" s="23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Is another domestic provider required?</v>
      </c>
      <c r="C188" s="113" t="s">
        <v>142</v>
      </c>
      <c r="D188" s="123" t="str">
        <f>IF(OR(B189="Please select 'Yes' or 'No' from the drop down list",B189="Please select 'I confirm' or 'I do not confirm' from the drop down list"),"E","")</f>
        <v/>
      </c>
      <c r="E188" s="123" t="str">
        <f>IF(B188="Is another domestic provider required?","E",IF(B188="Please confirm that the details entered into the Entry Form are correct","B",""))</f>
        <v>E</v>
      </c>
      <c r="F188" s="124" t="s">
        <v>612</v>
      </c>
      <c r="G188" s="124" t="s">
        <v>607</v>
      </c>
    </row>
    <row r="189" spans="1:7" ht="25.5" thickTop="1" thickBot="1" x14ac:dyDescent="0.5">
      <c r="A189" s="234" t="str">
        <f>IF(AND(B189="Choose provider from the list",C188="Yes"),"Domestic Provider "&amp;(ROW()-ROW(A$154))/5,"")</f>
        <v/>
      </c>
      <c r="B189" s="183"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Proceed below to confirm details and complete Entry Form</v>
      </c>
      <c r="C189" s="240"/>
      <c r="D189" s="12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123" t="str">
        <f>IF(B189="Choose provider from the list","H","")</f>
        <v/>
      </c>
      <c r="F189" s="124" t="s">
        <v>612</v>
      </c>
      <c r="G189" s="124" t="s">
        <v>610</v>
      </c>
    </row>
    <row r="190" spans="1:7" ht="25.5" thickTop="1" thickBot="1" x14ac:dyDescent="0.5">
      <c r="A190" s="229"/>
      <c r="B190" s="183" t="str">
        <f>IF(B189&lt;&gt;"Choose provider from the list","",IF(C189&lt;&gt;"PROVIDER NOT LISTED","","Type provider name manually"))</f>
        <v/>
      </c>
      <c r="C190" s="240"/>
      <c r="D190" s="12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s="124" t="s">
        <v>612</v>
      </c>
      <c r="G190" s="124" t="s">
        <v>490</v>
      </c>
    </row>
    <row r="191" spans="1:7" ht="25.5" thickTop="1" thickBot="1" x14ac:dyDescent="0.5">
      <c r="A191" s="229"/>
      <c r="B191" s="183"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14"/>
      <c r="D191" s="12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s="124" t="s">
        <v>612</v>
      </c>
      <c r="G191" s="124" t="s">
        <v>490</v>
      </c>
    </row>
    <row r="192" spans="1:7" ht="25.5" thickTop="1" thickBot="1" x14ac:dyDescent="0.5">
      <c r="A192" s="229"/>
      <c r="B192" s="154"/>
      <c r="C192" s="179"/>
      <c r="F192" s="124" t="s">
        <v>490</v>
      </c>
      <c r="G192" s="124" t="s">
        <v>490</v>
      </c>
    </row>
    <row r="193" spans="1:7" ht="25.5" thickTop="1" thickBot="1" x14ac:dyDescent="0.5">
      <c r="A193" s="229"/>
      <c r="B193" s="23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Please confirm that the details entered into the Entry Form are correct</v>
      </c>
      <c r="C193" s="113" t="s">
        <v>608</v>
      </c>
      <c r="D193" s="123" t="str">
        <f>IF(OR(B194="Please select 'Yes' or 'No' from the drop down list",B194="Please select 'I confirm' or 'I do not confirm' from the drop down list"),"E","")</f>
        <v/>
      </c>
      <c r="E193" s="123" t="str">
        <f>IF(B193="Is another domestic provider required?","E",IF(B193="Please confirm that the details entered into the Entry Form are correct","B",""))</f>
        <v>B</v>
      </c>
      <c r="F193" s="124" t="s">
        <v>612</v>
      </c>
      <c r="G193" s="124" t="s">
        <v>607</v>
      </c>
    </row>
    <row r="194" spans="1:7" ht="25.5" thickTop="1" thickBot="1" x14ac:dyDescent="0.5">
      <c r="A194" s="234" t="str">
        <f>IF(AND(B194="Choose provider from the list",C193="Yes"),"Domestic Provider "&amp;(ROW()-ROW(A$154))/5,"")</f>
        <v/>
      </c>
      <c r="B194" s="183"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240"/>
      <c r="D194" s="12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123" t="str">
        <f>IF(B194="Choose provider from the list","H","")</f>
        <v/>
      </c>
      <c r="F194" s="124" t="s">
        <v>612</v>
      </c>
      <c r="G194" s="124" t="s">
        <v>610</v>
      </c>
    </row>
    <row r="195" spans="1:7" ht="25.5" thickTop="1" thickBot="1" x14ac:dyDescent="0.5">
      <c r="A195" s="229"/>
      <c r="B195" s="183" t="str">
        <f>IF(B194&lt;&gt;"Choose provider from the list","",IF(C194&lt;&gt;"PROVIDER NOT LISTED","","Type provider name manually"))</f>
        <v/>
      </c>
      <c r="C195" s="240"/>
      <c r="D195" s="12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s="124" t="s">
        <v>612</v>
      </c>
      <c r="G195" s="124" t="s">
        <v>490</v>
      </c>
    </row>
    <row r="196" spans="1:7" ht="25.5" thickTop="1" thickBot="1" x14ac:dyDescent="0.5">
      <c r="A196" s="229"/>
      <c r="B196" s="183"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Entry Form complete - proceed to Summary sheet</v>
      </c>
      <c r="C196" s="114"/>
      <c r="D196" s="12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s="124" t="s">
        <v>612</v>
      </c>
      <c r="G196" s="124" t="s">
        <v>490</v>
      </c>
    </row>
    <row r="197" spans="1:7" ht="25.5" thickTop="1" thickBot="1" x14ac:dyDescent="0.5">
      <c r="A197" s="229"/>
      <c r="B197" s="154"/>
      <c r="C197" s="179"/>
      <c r="F197" s="124" t="s">
        <v>490</v>
      </c>
      <c r="G197" s="124" t="s">
        <v>490</v>
      </c>
    </row>
    <row r="198" spans="1:7" ht="25.5" thickTop="1" thickBot="1" x14ac:dyDescent="0.5">
      <c r="A198" s="229"/>
      <c r="B198" s="23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13"/>
      <c r="D198" s="123" t="str">
        <f>IF(OR(B199="Please select 'Yes' or 'No' from the drop down list",B199="Please select 'I confirm' or 'I do not confirm' from the drop down list"),"E","")</f>
        <v/>
      </c>
      <c r="E198" s="123" t="str">
        <f>IF(B198="Is another domestic provider required?","E",IF(B198="Please confirm that the details entered into the Entry Form are correct","B",""))</f>
        <v/>
      </c>
      <c r="F198" s="124" t="s">
        <v>612</v>
      </c>
      <c r="G198" s="124" t="s">
        <v>607</v>
      </c>
    </row>
    <row r="199" spans="1:7" ht="25.5" thickTop="1" thickBot="1" x14ac:dyDescent="0.5">
      <c r="A199" s="234" t="str">
        <f>IF(AND(B199="Choose provider from the list",C198="Yes"),"Domestic Provider "&amp;(ROW()-ROW(A$154))/5,"")</f>
        <v/>
      </c>
      <c r="B199" s="183"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240"/>
      <c r="D199" s="12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123" t="str">
        <f>IF(B199="Choose provider from the list","H","")</f>
        <v/>
      </c>
      <c r="F199" s="124" t="s">
        <v>612</v>
      </c>
      <c r="G199" s="124" t="s">
        <v>610</v>
      </c>
    </row>
    <row r="200" spans="1:7" ht="25.5" thickTop="1" thickBot="1" x14ac:dyDescent="0.5">
      <c r="A200" s="229"/>
      <c r="B200" s="183" t="str">
        <f>IF(B199&lt;&gt;"Choose provider from the list","",IF(C199&lt;&gt;"PROVIDER NOT LISTED","","Type provider name manually"))</f>
        <v/>
      </c>
      <c r="C200" s="240"/>
      <c r="D200" s="12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s="124" t="s">
        <v>612</v>
      </c>
      <c r="G200" s="124" t="s">
        <v>490</v>
      </c>
    </row>
    <row r="201" spans="1:7" ht="25.5" thickTop="1" thickBot="1" x14ac:dyDescent="0.5">
      <c r="A201" s="229"/>
      <c r="B201" s="183"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14"/>
      <c r="D201" s="12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s="124" t="s">
        <v>612</v>
      </c>
      <c r="G201" s="124" t="s">
        <v>490</v>
      </c>
    </row>
    <row r="202" spans="1:7" ht="25.5" thickTop="1" thickBot="1" x14ac:dyDescent="0.5">
      <c r="A202" s="229"/>
      <c r="B202" s="154"/>
      <c r="C202" s="179"/>
      <c r="F202" s="124" t="s">
        <v>490</v>
      </c>
      <c r="G202" s="124" t="s">
        <v>490</v>
      </c>
    </row>
    <row r="203" spans="1:7" ht="25.5" thickTop="1" thickBot="1" x14ac:dyDescent="0.5">
      <c r="A203" s="229"/>
      <c r="B203" s="23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13"/>
      <c r="D203" s="123" t="str">
        <f>IF(OR(B204="Please select 'Yes' or 'No' from the drop down list",B204="Please select 'I confirm' or 'I do not confirm' from the drop down list"),"E","")</f>
        <v/>
      </c>
      <c r="E203" s="123" t="str">
        <f>IF(B203="Is another domestic provider required?","E",IF(B203="Please confirm that the details entered into the Entry Form are correct","B",""))</f>
        <v/>
      </c>
      <c r="F203" s="124" t="s">
        <v>612</v>
      </c>
      <c r="G203" s="124" t="s">
        <v>607</v>
      </c>
    </row>
    <row r="204" spans="1:7" ht="25.5" thickTop="1" thickBot="1" x14ac:dyDescent="0.5">
      <c r="A204" s="234" t="str">
        <f>IF(AND(B204="Choose provider from the list",C203="Yes"),"Domestic Provider "&amp;(ROW()-ROW(A$154))/5,"")</f>
        <v/>
      </c>
      <c r="B204" s="183"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240"/>
      <c r="D204" s="12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123" t="str">
        <f>IF(B204="Choose provider from the list","H","")</f>
        <v/>
      </c>
      <c r="F204" s="124" t="s">
        <v>612</v>
      </c>
      <c r="G204" s="124" t="s">
        <v>610</v>
      </c>
    </row>
    <row r="205" spans="1:7" ht="25.5" thickTop="1" thickBot="1" x14ac:dyDescent="0.5">
      <c r="A205" s="229"/>
      <c r="B205" s="183" t="str">
        <f>IF(B204&lt;&gt;"Choose provider from the list","",IF(C204&lt;&gt;"PROVIDER NOT LISTED","","Type provider name manually"))</f>
        <v/>
      </c>
      <c r="C205" s="240"/>
      <c r="D205" s="12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s="124" t="s">
        <v>612</v>
      </c>
      <c r="G205" s="124" t="s">
        <v>490</v>
      </c>
    </row>
    <row r="206" spans="1:7" ht="25.5" thickTop="1" thickBot="1" x14ac:dyDescent="0.5">
      <c r="A206" s="229"/>
      <c r="B206" s="183"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14"/>
      <c r="D206" s="12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s="124" t="s">
        <v>612</v>
      </c>
      <c r="G206" s="124" t="s">
        <v>490</v>
      </c>
    </row>
    <row r="207" spans="1:7" ht="25.5" thickTop="1" thickBot="1" x14ac:dyDescent="0.5">
      <c r="A207" s="229"/>
      <c r="B207" s="154"/>
      <c r="C207" s="179"/>
      <c r="F207" s="124" t="s">
        <v>490</v>
      </c>
      <c r="G207" s="124" t="s">
        <v>490</v>
      </c>
    </row>
    <row r="208" spans="1:7" ht="25.5" thickTop="1" thickBot="1" x14ac:dyDescent="0.5">
      <c r="A208" s="229"/>
      <c r="B208" s="23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13"/>
      <c r="D208" s="123" t="str">
        <f>IF(OR(B209="Please select 'Yes' or 'No' from the drop down list",B209="Please select 'I confirm' or 'I do not confirm' from the drop down list"),"E","")</f>
        <v/>
      </c>
      <c r="E208" s="123" t="str">
        <f>IF(B208="Is another domestic provider required?","E",IF(B208="Please confirm that the details entered into the Entry Form are correct","B",""))</f>
        <v/>
      </c>
      <c r="F208" s="124" t="s">
        <v>612</v>
      </c>
      <c r="G208" s="124" t="s">
        <v>607</v>
      </c>
    </row>
    <row r="209" spans="1:7" ht="25.5" thickTop="1" thickBot="1" x14ac:dyDescent="0.5">
      <c r="A209" s="234" t="str">
        <f>IF(AND(B209="Choose provider from the list",C208="Yes"),"Domestic Provider "&amp;(ROW()-ROW(A$154))/5,"")</f>
        <v/>
      </c>
      <c r="B209" s="183"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240"/>
      <c r="D209" s="12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123" t="str">
        <f>IF(B209="Choose provider from the list","H","")</f>
        <v/>
      </c>
      <c r="F209" s="124" t="s">
        <v>612</v>
      </c>
      <c r="G209" s="124" t="s">
        <v>610</v>
      </c>
    </row>
    <row r="210" spans="1:7" ht="25.5" thickTop="1" thickBot="1" x14ac:dyDescent="0.5">
      <c r="A210" s="229"/>
      <c r="B210" s="183" t="str">
        <f>IF(B209&lt;&gt;"Choose provider from the list","",IF(C209&lt;&gt;"PROVIDER NOT LISTED","","Type provider name manually"))</f>
        <v/>
      </c>
      <c r="C210" s="240"/>
      <c r="D210" s="12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s="124" t="s">
        <v>612</v>
      </c>
      <c r="G210" s="124" t="s">
        <v>490</v>
      </c>
    </row>
    <row r="211" spans="1:7" ht="25.5" thickTop="1" thickBot="1" x14ac:dyDescent="0.5">
      <c r="A211" s="229"/>
      <c r="B211" s="183"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14"/>
      <c r="D211" s="12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s="124" t="s">
        <v>612</v>
      </c>
      <c r="G211" s="124" t="s">
        <v>490</v>
      </c>
    </row>
    <row r="212" spans="1:7" ht="25.5" thickTop="1" thickBot="1" x14ac:dyDescent="0.5">
      <c r="A212" s="229"/>
      <c r="B212" s="154"/>
      <c r="C212" s="179"/>
      <c r="F212" s="124" t="s">
        <v>490</v>
      </c>
      <c r="G212" s="124" t="s">
        <v>490</v>
      </c>
    </row>
    <row r="213" spans="1:7" ht="25.5" thickTop="1" thickBot="1" x14ac:dyDescent="0.5">
      <c r="A213" s="229"/>
      <c r="B213" s="23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13"/>
      <c r="D213" s="123" t="str">
        <f>IF(OR(B214="Please select 'Yes' or 'No' from the drop down list",B214="Please select 'I confirm' or 'I do not confirm' from the drop down list"),"E","")</f>
        <v/>
      </c>
      <c r="E213" s="123" t="str">
        <f>IF(B213="Is another domestic provider required?","E",IF(B213="Please confirm that the details entered into the Entry Form are correct","B",""))</f>
        <v/>
      </c>
      <c r="F213" s="124" t="s">
        <v>612</v>
      </c>
      <c r="G213" s="124" t="s">
        <v>607</v>
      </c>
    </row>
    <row r="214" spans="1:7" ht="25.5" thickTop="1" thickBot="1" x14ac:dyDescent="0.5">
      <c r="A214" s="234" t="str">
        <f>IF(AND(B214="Choose provider from the list",C213="Yes"),"Domestic Provider "&amp;(ROW()-ROW(A$154))/5,"")</f>
        <v/>
      </c>
      <c r="B214" s="183"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240"/>
      <c r="D214" s="12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123" t="str">
        <f>IF(B214="Choose provider from the list","H","")</f>
        <v/>
      </c>
      <c r="F214" s="124" t="s">
        <v>612</v>
      </c>
      <c r="G214" s="124" t="s">
        <v>610</v>
      </c>
    </row>
    <row r="215" spans="1:7" ht="25.5" thickTop="1" thickBot="1" x14ac:dyDescent="0.5">
      <c r="A215" s="229"/>
      <c r="B215" s="183" t="str">
        <f>IF(B214&lt;&gt;"Choose provider from the list","",IF(C214&lt;&gt;"PROVIDER NOT LISTED","","Type provider name manually"))</f>
        <v/>
      </c>
      <c r="C215" s="240"/>
      <c r="D215" s="12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s="124" t="s">
        <v>612</v>
      </c>
      <c r="G215" s="124" t="s">
        <v>490</v>
      </c>
    </row>
    <row r="216" spans="1:7" ht="25.5" thickTop="1" thickBot="1" x14ac:dyDescent="0.5">
      <c r="A216" s="229"/>
      <c r="B216" s="183"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14"/>
      <c r="D216" s="12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s="124" t="s">
        <v>612</v>
      </c>
      <c r="G216" s="124" t="s">
        <v>490</v>
      </c>
    </row>
    <row r="217" spans="1:7" ht="25.5" thickTop="1" thickBot="1" x14ac:dyDescent="0.5">
      <c r="A217" s="229"/>
      <c r="B217" s="154"/>
      <c r="C217" s="179"/>
      <c r="F217" s="124" t="s">
        <v>490</v>
      </c>
      <c r="G217" s="124" t="s">
        <v>490</v>
      </c>
    </row>
    <row r="218" spans="1:7" ht="25.5" thickTop="1" thickBot="1" x14ac:dyDescent="0.5">
      <c r="A218" s="229"/>
      <c r="B218" s="23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13"/>
      <c r="D218" s="123" t="str">
        <f>IF(OR(B219="Please select 'Yes' or 'No' from the drop down list",B219="Please select 'I confirm' or 'I do not confirm' from the drop down list"),"E","")</f>
        <v/>
      </c>
      <c r="E218" s="123" t="str">
        <f>IF(B218="Is another domestic provider required?","E",IF(B218="Please confirm that the details entered into the Entry Form are correct","B",""))</f>
        <v/>
      </c>
      <c r="F218" s="124" t="s">
        <v>612</v>
      </c>
      <c r="G218" s="124" t="s">
        <v>607</v>
      </c>
    </row>
    <row r="219" spans="1:7" ht="25.5" thickTop="1" thickBot="1" x14ac:dyDescent="0.5">
      <c r="A219" s="234" t="str">
        <f>IF(AND(B219="Choose provider from the list",C218="Yes"),"Domestic Provider "&amp;(ROW()-ROW(A$154))/5,"")</f>
        <v/>
      </c>
      <c r="B219" s="183"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240"/>
      <c r="D219" s="12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123" t="str">
        <f>IF(B219="Choose provider from the list","H","")</f>
        <v/>
      </c>
      <c r="F219" s="124" t="s">
        <v>612</v>
      </c>
      <c r="G219" s="124" t="s">
        <v>610</v>
      </c>
    </row>
    <row r="220" spans="1:7" ht="25.5" thickTop="1" thickBot="1" x14ac:dyDescent="0.5">
      <c r="A220" s="229"/>
      <c r="B220" s="183" t="str">
        <f>IF(B219&lt;&gt;"Choose provider from the list","",IF(C219&lt;&gt;"PROVIDER NOT LISTED","","Type provider name manually"))</f>
        <v/>
      </c>
      <c r="C220" s="240"/>
      <c r="D220" s="12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s="124" t="s">
        <v>612</v>
      </c>
      <c r="G220" s="124" t="s">
        <v>490</v>
      </c>
    </row>
    <row r="221" spans="1:7" ht="25.5" thickTop="1" thickBot="1" x14ac:dyDescent="0.5">
      <c r="A221" s="229"/>
      <c r="B221" s="183"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14"/>
      <c r="D221" s="12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s="124" t="s">
        <v>612</v>
      </c>
      <c r="G221" s="124" t="s">
        <v>490</v>
      </c>
    </row>
    <row r="222" spans="1:7" ht="25.5" thickTop="1" thickBot="1" x14ac:dyDescent="0.5">
      <c r="A222" s="229"/>
      <c r="B222" s="154"/>
      <c r="C222" s="179"/>
      <c r="F222" s="124" t="s">
        <v>490</v>
      </c>
      <c r="G222" s="124" t="s">
        <v>490</v>
      </c>
    </row>
    <row r="223" spans="1:7" ht="25.5" thickTop="1" thickBot="1" x14ac:dyDescent="0.5">
      <c r="A223" s="229"/>
      <c r="B223" s="23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13"/>
      <c r="D223" s="123" t="str">
        <f>IF(OR(B224="Please select 'Yes' or 'No' from the drop down list",B224="Please select 'I confirm' or 'I do not confirm' from the drop down list"),"E","")</f>
        <v/>
      </c>
      <c r="E223" s="123" t="str">
        <f>IF(B223="Is another domestic provider required?","E",IF(B223="Please confirm that the details entered into the Entry Form are correct","B",""))</f>
        <v/>
      </c>
      <c r="F223" s="124" t="s">
        <v>612</v>
      </c>
      <c r="G223" s="124" t="s">
        <v>607</v>
      </c>
    </row>
    <row r="224" spans="1:7" ht="25.5" thickTop="1" thickBot="1" x14ac:dyDescent="0.5">
      <c r="A224" s="234" t="str">
        <f>IF(AND(B224="Choose provider from the list",C223="Yes"),"Domestic Provider "&amp;(ROW()-ROW(A$154))/5,"")</f>
        <v/>
      </c>
      <c r="B224" s="183"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240"/>
      <c r="D224" s="12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123" t="str">
        <f>IF(B224="Choose provider from the list","H","")</f>
        <v/>
      </c>
      <c r="F224" s="124" t="s">
        <v>612</v>
      </c>
      <c r="G224" s="124" t="s">
        <v>610</v>
      </c>
    </row>
    <row r="225" spans="1:7" ht="25.5" thickTop="1" thickBot="1" x14ac:dyDescent="0.5">
      <c r="A225" s="229"/>
      <c r="B225" s="183" t="str">
        <f>IF(B224&lt;&gt;"Choose provider from the list","",IF(C224&lt;&gt;"PROVIDER NOT LISTED","","Type provider name manually"))</f>
        <v/>
      </c>
      <c r="C225" s="240"/>
      <c r="D225" s="12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s="124" t="s">
        <v>612</v>
      </c>
      <c r="G225" s="124" t="s">
        <v>490</v>
      </c>
    </row>
    <row r="226" spans="1:7" ht="25.5" thickTop="1" thickBot="1" x14ac:dyDescent="0.5">
      <c r="A226" s="229"/>
      <c r="B226" s="183"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14"/>
      <c r="D226" s="12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s="124" t="s">
        <v>612</v>
      </c>
      <c r="G226" s="124" t="s">
        <v>490</v>
      </c>
    </row>
    <row r="227" spans="1:7" ht="25.5" thickTop="1" thickBot="1" x14ac:dyDescent="0.5">
      <c r="A227" s="229"/>
      <c r="B227" s="154"/>
      <c r="C227" s="179"/>
      <c r="F227" s="124" t="s">
        <v>490</v>
      </c>
      <c r="G227" s="124" t="s">
        <v>490</v>
      </c>
    </row>
    <row r="228" spans="1:7" ht="25.5" thickTop="1" thickBot="1" x14ac:dyDescent="0.5">
      <c r="A228" s="229"/>
      <c r="B228" s="23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13"/>
      <c r="D228" s="123" t="str">
        <f>IF(OR(B229="Please select 'Yes' or 'No' from the drop down list",B229="Please select 'I confirm' or 'I do not confirm' from the drop down list"),"E","")</f>
        <v/>
      </c>
      <c r="E228" s="123" t="str">
        <f>IF(B228="Is another domestic provider required?","E",IF(B228="Please confirm that the details entered into the Entry Form are correct","B",""))</f>
        <v/>
      </c>
      <c r="F228" s="124" t="s">
        <v>612</v>
      </c>
      <c r="G228" s="124" t="s">
        <v>607</v>
      </c>
    </row>
    <row r="229" spans="1:7" ht="25.5" thickTop="1" thickBot="1" x14ac:dyDescent="0.5">
      <c r="A229" s="234" t="str">
        <f>IF(AND(B229="Choose provider from the list",C228="Yes"),"Domestic Provider "&amp;(ROW()-ROW(A$154))/5,"")</f>
        <v/>
      </c>
      <c r="B229" s="183"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240"/>
      <c r="D229" s="12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123" t="str">
        <f>IF(B229="Choose provider from the list","H","")</f>
        <v/>
      </c>
      <c r="F229" s="124" t="s">
        <v>612</v>
      </c>
      <c r="G229" s="124" t="s">
        <v>610</v>
      </c>
    </row>
    <row r="230" spans="1:7" ht="25.5" thickTop="1" thickBot="1" x14ac:dyDescent="0.5">
      <c r="A230" s="229"/>
      <c r="B230" s="183" t="str">
        <f>IF(B229&lt;&gt;"Choose provider from the list","",IF(C229&lt;&gt;"PROVIDER NOT LISTED","","Type provider name manually"))</f>
        <v/>
      </c>
      <c r="C230" s="240"/>
      <c r="D230" s="12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s="124" t="s">
        <v>612</v>
      </c>
      <c r="G230" s="124" t="s">
        <v>490</v>
      </c>
    </row>
    <row r="231" spans="1:7" ht="25.5" thickTop="1" thickBot="1" x14ac:dyDescent="0.5">
      <c r="A231" s="229"/>
      <c r="B231" s="183"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14"/>
      <c r="D231" s="12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s="124" t="s">
        <v>612</v>
      </c>
      <c r="G231" s="124" t="s">
        <v>490</v>
      </c>
    </row>
    <row r="232" spans="1:7" ht="25.5" thickTop="1" thickBot="1" x14ac:dyDescent="0.5">
      <c r="A232" s="229"/>
      <c r="B232" s="154"/>
      <c r="C232" s="179"/>
      <c r="F232" s="124" t="s">
        <v>490</v>
      </c>
      <c r="G232" s="124" t="s">
        <v>490</v>
      </c>
    </row>
    <row r="233" spans="1:7" ht="25.5" thickTop="1" thickBot="1" x14ac:dyDescent="0.5">
      <c r="A233" s="229"/>
      <c r="B233" s="23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13"/>
      <c r="D233" s="123" t="str">
        <f>IF(OR(B234="Please select 'Yes' or 'No' from the drop down list",B234="Please select 'I confirm' or 'I do not confirm' from the drop down list"),"E","")</f>
        <v/>
      </c>
      <c r="E233" s="123" t="str">
        <f>IF(B233="Is another domestic provider required?","E",IF(B233="Please confirm that the details entered into the Entry Form are correct","B",""))</f>
        <v/>
      </c>
      <c r="F233" s="124" t="s">
        <v>612</v>
      </c>
      <c r="G233" s="124" t="s">
        <v>607</v>
      </c>
    </row>
    <row r="234" spans="1:7" ht="25.5" thickTop="1" thickBot="1" x14ac:dyDescent="0.5">
      <c r="A234" s="234" t="str">
        <f>IF(AND(B234="Choose provider from the list",C233="Yes"),"Domestic Provider "&amp;(ROW()-ROW(A$154))/5,"")</f>
        <v/>
      </c>
      <c r="B234" s="183"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240"/>
      <c r="D234" s="12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123" t="str">
        <f>IF(B234="Choose provider from the list","H","")</f>
        <v/>
      </c>
      <c r="F234" s="124" t="s">
        <v>612</v>
      </c>
      <c r="G234" s="124" t="s">
        <v>610</v>
      </c>
    </row>
    <row r="235" spans="1:7" ht="25.5" thickTop="1" thickBot="1" x14ac:dyDescent="0.5">
      <c r="A235" s="229"/>
      <c r="B235" s="183" t="str">
        <f>IF(B234&lt;&gt;"Choose provider from the list","",IF(C234&lt;&gt;"PROVIDER NOT LISTED","","Type provider name manually"))</f>
        <v/>
      </c>
      <c r="C235" s="240"/>
      <c r="D235" s="12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s="124" t="s">
        <v>612</v>
      </c>
      <c r="G235" s="124" t="s">
        <v>490</v>
      </c>
    </row>
    <row r="236" spans="1:7" ht="25.5" thickTop="1" thickBot="1" x14ac:dyDescent="0.5">
      <c r="A236" s="229"/>
      <c r="B236" s="183"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14"/>
      <c r="D236" s="12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s="124" t="s">
        <v>612</v>
      </c>
      <c r="G236" s="124" t="s">
        <v>490</v>
      </c>
    </row>
    <row r="237" spans="1:7" ht="25.5" thickTop="1" thickBot="1" x14ac:dyDescent="0.5">
      <c r="A237" s="229"/>
      <c r="B237" s="154"/>
      <c r="C237" s="179"/>
      <c r="F237" s="124" t="s">
        <v>490</v>
      </c>
      <c r="G237" s="124" t="s">
        <v>490</v>
      </c>
    </row>
    <row r="238" spans="1:7" ht="25.5" thickTop="1" thickBot="1" x14ac:dyDescent="0.5">
      <c r="A238" s="229"/>
      <c r="B238" s="23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13"/>
      <c r="D238" s="123" t="str">
        <f>IF(OR(B239="Please select 'Yes' or 'No' from the drop down list",B239="Please select 'I confirm' or 'I do not confirm' from the drop down list"),"E","")</f>
        <v/>
      </c>
      <c r="E238" s="123" t="str">
        <f>IF(B238="Is another domestic provider required?","E",IF(B238="Please confirm that the details entered into the Entry Form are correct","B",""))</f>
        <v/>
      </c>
      <c r="F238" s="124" t="s">
        <v>612</v>
      </c>
      <c r="G238" s="124" t="s">
        <v>607</v>
      </c>
    </row>
    <row r="239" spans="1:7" ht="25.5" thickTop="1" thickBot="1" x14ac:dyDescent="0.5">
      <c r="A239" s="234" t="str">
        <f>IF(AND(B239="Choose provider from the list",C238="Yes"),"Domestic Provider "&amp;(ROW()-ROW(A$154))/5,"")</f>
        <v/>
      </c>
      <c r="B239" s="183"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240"/>
      <c r="D239" s="12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123" t="str">
        <f>IF(B239="Choose provider from the list","H","")</f>
        <v/>
      </c>
      <c r="F239" s="124" t="s">
        <v>612</v>
      </c>
      <c r="G239" s="124" t="s">
        <v>610</v>
      </c>
    </row>
    <row r="240" spans="1:7" ht="25.5" thickTop="1" thickBot="1" x14ac:dyDescent="0.5">
      <c r="A240" s="229"/>
      <c r="B240" s="183" t="str">
        <f>IF(B239&lt;&gt;"Choose provider from the list","",IF(C239&lt;&gt;"PROVIDER NOT LISTED","","Type provider name manually"))</f>
        <v/>
      </c>
      <c r="C240" s="240"/>
      <c r="D240" s="12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s="124" t="s">
        <v>612</v>
      </c>
      <c r="G240" s="124" t="s">
        <v>490</v>
      </c>
    </row>
    <row r="241" spans="1:7" ht="25.5" thickTop="1" thickBot="1" x14ac:dyDescent="0.5">
      <c r="A241" s="229"/>
      <c r="B241" s="183"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14"/>
      <c r="D241" s="12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s="124" t="s">
        <v>612</v>
      </c>
      <c r="G241" s="124" t="s">
        <v>490</v>
      </c>
    </row>
    <row r="242" spans="1:7" ht="25.5" thickTop="1" thickBot="1" x14ac:dyDescent="0.5">
      <c r="A242" s="229"/>
      <c r="B242" s="154"/>
      <c r="C242" s="179"/>
      <c r="F242" s="124" t="s">
        <v>490</v>
      </c>
      <c r="G242" s="124" t="s">
        <v>490</v>
      </c>
    </row>
    <row r="243" spans="1:7" ht="25.5" thickTop="1" thickBot="1" x14ac:dyDescent="0.5">
      <c r="A243" s="229"/>
      <c r="B243" s="23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13"/>
      <c r="D243" s="123" t="str">
        <f>IF(OR(B244="Please select 'Yes' or 'No' from the drop down list",B244="Please select 'I confirm' or 'I do not confirm' from the drop down list"),"E","")</f>
        <v/>
      </c>
      <c r="E243" s="123" t="str">
        <f>IF(B243="Is another domestic provider required?","E",IF(B243="Please confirm that the details entered into the Entry Form are correct","B",""))</f>
        <v/>
      </c>
      <c r="F243" s="124" t="s">
        <v>612</v>
      </c>
      <c r="G243" s="124" t="s">
        <v>607</v>
      </c>
    </row>
    <row r="244" spans="1:7" ht="25.5" thickTop="1" thickBot="1" x14ac:dyDescent="0.5">
      <c r="A244" s="234" t="str">
        <f>IF(AND(B244="Choose provider from the list",C243="Yes"),"Domestic Provider "&amp;(ROW()-ROW(A$154))/5,"")</f>
        <v/>
      </c>
      <c r="B244" s="183"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240"/>
      <c r="D244" s="12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123" t="str">
        <f>IF(B244="Choose provider from the list","H","")</f>
        <v/>
      </c>
      <c r="F244" s="124" t="s">
        <v>612</v>
      </c>
      <c r="G244" s="124" t="s">
        <v>610</v>
      </c>
    </row>
    <row r="245" spans="1:7" ht="25.5" thickTop="1" thickBot="1" x14ac:dyDescent="0.5">
      <c r="A245" s="229"/>
      <c r="B245" s="183" t="str">
        <f>IF(B244&lt;&gt;"Choose provider from the list","",IF(C244&lt;&gt;"PROVIDER NOT LISTED","","Type provider name manually"))</f>
        <v/>
      </c>
      <c r="C245" s="240"/>
      <c r="D245" s="12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s="124" t="s">
        <v>612</v>
      </c>
      <c r="G245" s="124" t="s">
        <v>490</v>
      </c>
    </row>
    <row r="246" spans="1:7" ht="25.5" thickTop="1" thickBot="1" x14ac:dyDescent="0.5">
      <c r="A246" s="229"/>
      <c r="B246" s="183"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14"/>
      <c r="D246" s="12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s="124" t="s">
        <v>612</v>
      </c>
      <c r="G246" s="124" t="s">
        <v>490</v>
      </c>
    </row>
    <row r="247" spans="1:7" ht="25.5" thickTop="1" thickBot="1" x14ac:dyDescent="0.5">
      <c r="A247" s="229"/>
      <c r="B247" s="154"/>
      <c r="C247" s="179"/>
      <c r="F247" s="124" t="s">
        <v>490</v>
      </c>
      <c r="G247" s="124" t="s">
        <v>490</v>
      </c>
    </row>
    <row r="248" spans="1:7" ht="25.5" thickTop="1" thickBot="1" x14ac:dyDescent="0.5">
      <c r="A248" s="229"/>
      <c r="B248" s="23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13"/>
      <c r="D248" s="123" t="str">
        <f>IF(OR(B249="Please select 'Yes' or 'No' from the drop down list",B249="Please select 'I confirm' or 'I do not confirm' from the drop down list"),"E","")</f>
        <v/>
      </c>
      <c r="E248" s="123" t="str">
        <f>IF(B248="Is another domestic provider required?","E",IF(B248="Please confirm that the details entered into the Entry Form are correct","B",""))</f>
        <v/>
      </c>
      <c r="F248" s="124" t="s">
        <v>612</v>
      </c>
      <c r="G248" s="124" t="s">
        <v>607</v>
      </c>
    </row>
    <row r="249" spans="1:7" ht="25.5" thickTop="1" thickBot="1" x14ac:dyDescent="0.5">
      <c r="A249" s="234" t="str">
        <f>IF(AND(B249="Choose provider from the list",C248="Yes"),"Domestic Provider "&amp;(ROW()-ROW(A$154))/5,"")</f>
        <v/>
      </c>
      <c r="B249" s="183"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240"/>
      <c r="D249" s="12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123" t="str">
        <f>IF(B249="Choose provider from the list","H","")</f>
        <v/>
      </c>
      <c r="F249" s="124" t="s">
        <v>612</v>
      </c>
      <c r="G249" s="124" t="s">
        <v>610</v>
      </c>
    </row>
    <row r="250" spans="1:7" ht="25.5" thickTop="1" thickBot="1" x14ac:dyDescent="0.5">
      <c r="A250" s="229"/>
      <c r="B250" s="183" t="str">
        <f>IF(B249&lt;&gt;"Choose provider from the list","",IF(C249&lt;&gt;"PROVIDER NOT LISTED","","Type provider name manually"))</f>
        <v/>
      </c>
      <c r="C250" s="240"/>
      <c r="D250" s="12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s="124" t="s">
        <v>612</v>
      </c>
      <c r="G250" s="124" t="s">
        <v>490</v>
      </c>
    </row>
    <row r="251" spans="1:7" ht="25.5" thickTop="1" thickBot="1" x14ac:dyDescent="0.5">
      <c r="A251" s="229"/>
      <c r="B251" s="183"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14"/>
      <c r="D251" s="12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s="124" t="s">
        <v>612</v>
      </c>
      <c r="G251" s="124" t="s">
        <v>490</v>
      </c>
    </row>
    <row r="252" spans="1:7" ht="25.5" thickTop="1" thickBot="1" x14ac:dyDescent="0.5">
      <c r="A252" s="229"/>
      <c r="B252" s="154"/>
      <c r="C252" s="179"/>
      <c r="F252" s="124" t="s">
        <v>490</v>
      </c>
      <c r="G252" s="124" t="s">
        <v>490</v>
      </c>
    </row>
    <row r="253" spans="1:7" ht="25.5" thickTop="1" thickBot="1" x14ac:dyDescent="0.5">
      <c r="A253" s="229"/>
      <c r="B253" s="23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13"/>
      <c r="D253" s="123" t="str">
        <f>IF(OR(B254="Please select 'Yes' or 'No' from the drop down list",B254="Please select 'I confirm' or 'I do not confirm' from the drop down list"),"E","")</f>
        <v/>
      </c>
      <c r="E253" s="123" t="str">
        <f>IF(B253="Is another domestic provider required?","E",IF(B253="Please confirm that the details entered into the Entry Form are correct","B",""))</f>
        <v/>
      </c>
      <c r="F253" s="124" t="s">
        <v>612</v>
      </c>
      <c r="G253" s="124" t="s">
        <v>607</v>
      </c>
    </row>
    <row r="254" spans="1:7" ht="25.5" thickTop="1" thickBot="1" x14ac:dyDescent="0.5">
      <c r="A254" s="234" t="str">
        <f>IF(AND(B254="Choose provider from the list",C253="Yes"),"Domestic Provider "&amp;(ROW()-ROW(A$154))/5,"")</f>
        <v/>
      </c>
      <c r="B254" s="183"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240"/>
      <c r="D254" s="12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123" t="str">
        <f>IF(B254="Choose provider from the list","H","")</f>
        <v/>
      </c>
      <c r="F254" s="124" t="s">
        <v>612</v>
      </c>
      <c r="G254" s="124" t="s">
        <v>610</v>
      </c>
    </row>
    <row r="255" spans="1:7" ht="25.5" thickTop="1" thickBot="1" x14ac:dyDescent="0.5">
      <c r="A255" s="229"/>
      <c r="B255" s="183" t="str">
        <f>IF(B254&lt;&gt;"Choose provider from the list","",IF(C254&lt;&gt;"PROVIDER NOT LISTED","","Type provider name manually"))</f>
        <v/>
      </c>
      <c r="C255" s="240"/>
      <c r="D255" s="12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s="124" t="s">
        <v>612</v>
      </c>
      <c r="G255" s="124" t="s">
        <v>490</v>
      </c>
    </row>
    <row r="256" spans="1:7" ht="25.5" thickTop="1" thickBot="1" x14ac:dyDescent="0.5">
      <c r="A256" s="229"/>
      <c r="B256" s="183"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14"/>
      <c r="D256" s="12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s="124" t="s">
        <v>612</v>
      </c>
      <c r="G256" s="124" t="s">
        <v>490</v>
      </c>
    </row>
    <row r="257" spans="1:7" ht="25.5" thickTop="1" thickBot="1" x14ac:dyDescent="0.5">
      <c r="A257" s="229"/>
      <c r="B257" s="154"/>
      <c r="C257" s="179"/>
      <c r="F257" s="124" t="s">
        <v>490</v>
      </c>
      <c r="G257" s="124" t="s">
        <v>490</v>
      </c>
    </row>
    <row r="258" spans="1:7" ht="25.5" thickTop="1" thickBot="1" x14ac:dyDescent="0.5">
      <c r="A258" s="229"/>
      <c r="B258" s="23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13"/>
      <c r="D258" s="123" t="str">
        <f>IF(OR(B259="Please select 'Yes' or 'No' from the drop down list",B259="Please select 'I confirm' or 'I do not confirm' from the drop down list"),"E","")</f>
        <v/>
      </c>
      <c r="E258" s="123" t="str">
        <f>IF(B258="Is another domestic provider required?","E",IF(B258="Please confirm that the details entered into the Entry Form are correct","B",""))</f>
        <v/>
      </c>
      <c r="F258" s="124" t="s">
        <v>612</v>
      </c>
      <c r="G258" s="124" t="s">
        <v>607</v>
      </c>
    </row>
    <row r="259" spans="1:7" ht="25.5" thickTop="1" thickBot="1" x14ac:dyDescent="0.5">
      <c r="A259" s="234" t="str">
        <f>IF(AND(B259="Choose provider from the list",C258="Yes"),"Domestic Provider "&amp;(ROW()-ROW(A$154))/5,"")</f>
        <v/>
      </c>
      <c r="B259" s="183"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240"/>
      <c r="D259" s="12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123" t="str">
        <f>IF(B259="Choose provider from the list","H","")</f>
        <v/>
      </c>
      <c r="F259" s="124" t="s">
        <v>612</v>
      </c>
      <c r="G259" s="124" t="s">
        <v>610</v>
      </c>
    </row>
    <row r="260" spans="1:7" ht="25.5" thickTop="1" thickBot="1" x14ac:dyDescent="0.5">
      <c r="A260" s="229"/>
      <c r="B260" s="183" t="str">
        <f>IF(B259&lt;&gt;"Choose provider from the list","",IF(C259&lt;&gt;"PROVIDER NOT LISTED","","Type provider name manually"))</f>
        <v/>
      </c>
      <c r="C260" s="240"/>
      <c r="D260" s="12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s="124" t="s">
        <v>612</v>
      </c>
      <c r="G260" s="124" t="s">
        <v>490</v>
      </c>
    </row>
    <row r="261" spans="1:7" ht="25.5" thickTop="1" thickBot="1" x14ac:dyDescent="0.5">
      <c r="A261" s="229"/>
      <c r="B261" s="183"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14"/>
      <c r="D261" s="12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s="124" t="s">
        <v>612</v>
      </c>
      <c r="G261" s="124" t="s">
        <v>490</v>
      </c>
    </row>
    <row r="262" spans="1:7" ht="25.5" thickTop="1" thickBot="1" x14ac:dyDescent="0.5">
      <c r="A262" s="229"/>
      <c r="B262" s="154"/>
      <c r="C262" s="179"/>
      <c r="F262" s="124" t="s">
        <v>490</v>
      </c>
      <c r="G262" s="124" t="s">
        <v>490</v>
      </c>
    </row>
    <row r="263" spans="1:7" ht="25.5" thickTop="1" thickBot="1" x14ac:dyDescent="0.5">
      <c r="A263" s="229"/>
      <c r="B263" s="23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13"/>
      <c r="D263" s="123" t="str">
        <f>IF(OR(B264="Please select 'Yes' or 'No' from the drop down list",B264="Please select 'I confirm' or 'I do not confirm' from the drop down list"),"E","")</f>
        <v/>
      </c>
      <c r="E263" s="123" t="str">
        <f>IF(B263="Is another domestic provider required?","E",IF(B263="Please confirm that the details entered into the Entry Form are correct","B",""))</f>
        <v/>
      </c>
      <c r="F263" s="124" t="s">
        <v>612</v>
      </c>
      <c r="G263" s="124" t="s">
        <v>607</v>
      </c>
    </row>
    <row r="264" spans="1:7" ht="25.5" thickTop="1" thickBot="1" x14ac:dyDescent="0.5">
      <c r="A264" s="234" t="str">
        <f>IF(AND(B264="Choose provider from the list",C263="Yes"),"Domestic Provider "&amp;(ROW()-ROW(A$154))/5,"")</f>
        <v/>
      </c>
      <c r="B264" s="183"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240"/>
      <c r="D264" s="12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123" t="str">
        <f>IF(B264="Choose provider from the list","H","")</f>
        <v/>
      </c>
      <c r="F264" s="124" t="s">
        <v>612</v>
      </c>
      <c r="G264" s="124" t="s">
        <v>610</v>
      </c>
    </row>
    <row r="265" spans="1:7" ht="25.5" thickTop="1" thickBot="1" x14ac:dyDescent="0.5">
      <c r="A265" s="229"/>
      <c r="B265" s="183" t="str">
        <f>IF(B264&lt;&gt;"Choose provider from the list","",IF(C264&lt;&gt;"PROVIDER NOT LISTED","","Type provider name manually"))</f>
        <v/>
      </c>
      <c r="C265" s="240"/>
      <c r="D265" s="12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s="124" t="s">
        <v>612</v>
      </c>
      <c r="G265" s="124" t="s">
        <v>490</v>
      </c>
    </row>
    <row r="266" spans="1:7" ht="25.5" thickTop="1" thickBot="1" x14ac:dyDescent="0.5">
      <c r="A266" s="229"/>
      <c r="B266" s="183"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14"/>
      <c r="D266" s="12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s="124" t="s">
        <v>612</v>
      </c>
      <c r="G266" s="124" t="s">
        <v>490</v>
      </c>
    </row>
    <row r="267" spans="1:7" ht="25.5" thickTop="1" thickBot="1" x14ac:dyDescent="0.5">
      <c r="A267" s="229"/>
      <c r="B267" s="154"/>
      <c r="C267" s="179"/>
      <c r="F267" s="124" t="s">
        <v>490</v>
      </c>
      <c r="G267" s="124" t="s">
        <v>490</v>
      </c>
    </row>
    <row r="268" spans="1:7" ht="25.5" thickTop="1" thickBot="1" x14ac:dyDescent="0.5">
      <c r="A268" s="229"/>
      <c r="B268" s="23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13"/>
      <c r="D268" s="123" t="str">
        <f>IF(OR(B269="Please select 'Yes' or 'No' from the drop down list",B269="Please select 'I confirm' or 'I do not confirm' from the drop down list"),"E","")</f>
        <v/>
      </c>
      <c r="E268" s="123" t="str">
        <f>IF(B268="Is another domestic provider required?","E",IF(B268="Please confirm that the details entered into the Entry Form are correct","B",""))</f>
        <v/>
      </c>
      <c r="F268" s="124" t="s">
        <v>612</v>
      </c>
      <c r="G268" s="124" t="s">
        <v>607</v>
      </c>
    </row>
    <row r="269" spans="1:7" ht="25.5" thickTop="1" thickBot="1" x14ac:dyDescent="0.5">
      <c r="A269" s="234" t="str">
        <f>IF(AND(B269="Choose provider from the list",C268="Yes"),"Domestic Provider "&amp;(ROW()-ROW(A$154))/5,"")</f>
        <v/>
      </c>
      <c r="B269" s="183"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240"/>
      <c r="D269" s="12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123" t="str">
        <f>IF(B269="Choose provider from the list","H","")</f>
        <v/>
      </c>
      <c r="F269" s="124" t="s">
        <v>612</v>
      </c>
      <c r="G269" s="124" t="s">
        <v>610</v>
      </c>
    </row>
    <row r="270" spans="1:7" ht="25.5" thickTop="1" thickBot="1" x14ac:dyDescent="0.5">
      <c r="A270" s="229"/>
      <c r="B270" s="183" t="str">
        <f>IF(B269&lt;&gt;"Choose provider from the list","",IF(C269&lt;&gt;"PROVIDER NOT LISTED","","Type provider name manually"))</f>
        <v/>
      </c>
      <c r="C270" s="240"/>
      <c r="D270" s="12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s="124" t="s">
        <v>612</v>
      </c>
      <c r="G270" s="124" t="s">
        <v>490</v>
      </c>
    </row>
    <row r="271" spans="1:7" ht="25.5" thickTop="1" thickBot="1" x14ac:dyDescent="0.5">
      <c r="A271" s="229"/>
      <c r="B271" s="183"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14"/>
      <c r="D271" s="12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s="124" t="s">
        <v>612</v>
      </c>
      <c r="G271" s="124" t="s">
        <v>490</v>
      </c>
    </row>
    <row r="272" spans="1:7" ht="25.5" thickTop="1" thickBot="1" x14ac:dyDescent="0.5">
      <c r="A272" s="229"/>
      <c r="B272" s="154"/>
      <c r="C272" s="179"/>
      <c r="F272" s="124" t="s">
        <v>490</v>
      </c>
      <c r="G272" s="124" t="s">
        <v>490</v>
      </c>
    </row>
    <row r="273" spans="1:7" ht="25.5" thickTop="1" thickBot="1" x14ac:dyDescent="0.5">
      <c r="A273" s="229"/>
      <c r="B273" s="23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13"/>
      <c r="D273" s="123" t="str">
        <f>IF(OR(B274="Please select 'Yes' or 'No' from the drop down list",B274="Please select 'I confirm' or 'I do not confirm' from the drop down list"),"E","")</f>
        <v/>
      </c>
      <c r="E273" s="123" t="str">
        <f>IF(B273="Is another domestic provider required?","E",IF(B273="Please confirm that the details entered into the Entry Form are correct","B",""))</f>
        <v/>
      </c>
      <c r="F273" s="124" t="s">
        <v>612</v>
      </c>
      <c r="G273" s="124" t="s">
        <v>607</v>
      </c>
    </row>
    <row r="274" spans="1:7" ht="25.5" thickTop="1" thickBot="1" x14ac:dyDescent="0.5">
      <c r="A274" s="234" t="str">
        <f>IF(AND(B274="Choose provider from the list",C273="Yes"),"Domestic Provider "&amp;(ROW()-ROW(A$154))/5,"")</f>
        <v/>
      </c>
      <c r="B274" s="183"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240"/>
      <c r="D274" s="12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123" t="str">
        <f>IF(B274="Choose provider from the list","H","")</f>
        <v/>
      </c>
      <c r="F274" s="124" t="s">
        <v>612</v>
      </c>
      <c r="G274" s="124" t="s">
        <v>610</v>
      </c>
    </row>
    <row r="275" spans="1:7" ht="25.5" thickTop="1" thickBot="1" x14ac:dyDescent="0.5">
      <c r="A275" s="229"/>
      <c r="B275" s="183" t="str">
        <f>IF(B274&lt;&gt;"Choose provider from the list","",IF(C274&lt;&gt;"PROVIDER NOT LISTED","","Type provider name manually"))</f>
        <v/>
      </c>
      <c r="C275" s="240"/>
      <c r="D275" s="12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s="124" t="s">
        <v>612</v>
      </c>
      <c r="G275" s="124" t="s">
        <v>490</v>
      </c>
    </row>
    <row r="276" spans="1:7" ht="25.5" thickTop="1" thickBot="1" x14ac:dyDescent="0.5">
      <c r="A276" s="229"/>
      <c r="B276" s="183"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14"/>
      <c r="D276" s="12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s="124" t="s">
        <v>612</v>
      </c>
      <c r="G276" s="124" t="s">
        <v>490</v>
      </c>
    </row>
    <row r="277" spans="1:7" ht="25.5" thickTop="1" thickBot="1" x14ac:dyDescent="0.5">
      <c r="A277" s="229"/>
      <c r="B277" s="154"/>
      <c r="C277" s="179"/>
      <c r="F277" s="124" t="s">
        <v>490</v>
      </c>
      <c r="G277" s="124" t="s">
        <v>490</v>
      </c>
    </row>
    <row r="278" spans="1:7" ht="25.5" thickTop="1" thickBot="1" x14ac:dyDescent="0.5">
      <c r="A278" s="229"/>
      <c r="B278" s="23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13"/>
      <c r="D278" s="123" t="str">
        <f>IF(OR(B279="Please select 'Yes' or 'No' from the drop down list",B279="Please select 'I confirm' or 'I do not confirm' from the drop down list"),"E","")</f>
        <v/>
      </c>
      <c r="E278" s="123" t="str">
        <f>IF(B278="Is another domestic provider required?","E",IF(B278="Please confirm that the details entered into the Entry Form are correct","B",""))</f>
        <v/>
      </c>
      <c r="F278" s="124" t="s">
        <v>612</v>
      </c>
      <c r="G278" s="124" t="s">
        <v>607</v>
      </c>
    </row>
    <row r="279" spans="1:7" ht="25.5" thickTop="1" thickBot="1" x14ac:dyDescent="0.5">
      <c r="A279" s="234" t="str">
        <f>IF(AND(B279="Choose provider from the list",C278="Yes"),"Domestic Provider "&amp;(ROW()-ROW(A$154))/5,"")</f>
        <v/>
      </c>
      <c r="B279" s="183"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240"/>
      <c r="D279" s="12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123" t="str">
        <f>IF(B279="Choose provider from the list","H","")</f>
        <v/>
      </c>
      <c r="F279" s="124" t="s">
        <v>612</v>
      </c>
      <c r="G279" s="124" t="s">
        <v>610</v>
      </c>
    </row>
    <row r="280" spans="1:7" ht="25.5" thickTop="1" thickBot="1" x14ac:dyDescent="0.5">
      <c r="A280" s="229"/>
      <c r="B280" s="183" t="str">
        <f>IF(B279&lt;&gt;"Choose provider from the list","",IF(C279&lt;&gt;"PROVIDER NOT LISTED","","Type provider name manually"))</f>
        <v/>
      </c>
      <c r="C280" s="240"/>
      <c r="D280" s="12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s="124" t="s">
        <v>612</v>
      </c>
      <c r="G280" s="124" t="s">
        <v>490</v>
      </c>
    </row>
    <row r="281" spans="1:7" ht="25.5" thickTop="1" thickBot="1" x14ac:dyDescent="0.5">
      <c r="A281" s="229"/>
      <c r="B281" s="183"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14"/>
      <c r="D281" s="12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s="124" t="s">
        <v>612</v>
      </c>
      <c r="G281" s="124" t="s">
        <v>490</v>
      </c>
    </row>
    <row r="282" spans="1:7" ht="25.5" thickTop="1" thickBot="1" x14ac:dyDescent="0.5">
      <c r="A282" s="229"/>
      <c r="B282" s="154"/>
      <c r="C282" s="179"/>
      <c r="F282" s="124" t="s">
        <v>490</v>
      </c>
      <c r="G282" s="124" t="s">
        <v>490</v>
      </c>
    </row>
    <row r="283" spans="1:7" ht="25.5" thickTop="1" thickBot="1" x14ac:dyDescent="0.5">
      <c r="A283" s="229"/>
      <c r="B283" s="23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13"/>
      <c r="D283" s="123" t="str">
        <f>IF(OR(B284="Please select 'Yes' or 'No' from the drop down list",B284="Please select 'I confirm' or 'I do not confirm' from the drop down list"),"E","")</f>
        <v/>
      </c>
      <c r="E283" s="123" t="str">
        <f>IF(B283="Is another domestic provider required?","E",IF(B283="Please confirm that the details entered into the Entry Form are correct","B",""))</f>
        <v/>
      </c>
      <c r="F283" s="124" t="s">
        <v>612</v>
      </c>
      <c r="G283" s="124" t="s">
        <v>607</v>
      </c>
    </row>
    <row r="284" spans="1:7" ht="25.5" thickTop="1" thickBot="1" x14ac:dyDescent="0.5">
      <c r="A284" s="234" t="str">
        <f>IF(AND(B284="Choose provider from the list",C283="Yes"),"Domestic Provider "&amp;(ROW()-ROW(A$154))/5,"")</f>
        <v/>
      </c>
      <c r="B284" s="183"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240"/>
      <c r="D284" s="12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123" t="str">
        <f>IF(B284="Choose provider from the list","H","")</f>
        <v/>
      </c>
      <c r="F284" s="124" t="s">
        <v>612</v>
      </c>
      <c r="G284" s="124" t="s">
        <v>610</v>
      </c>
    </row>
    <row r="285" spans="1:7" ht="25.5" thickTop="1" thickBot="1" x14ac:dyDescent="0.5">
      <c r="A285" s="229"/>
      <c r="B285" s="183" t="str">
        <f>IF(B284&lt;&gt;"Choose provider from the list","",IF(C284&lt;&gt;"PROVIDER NOT LISTED","","Type provider name manually"))</f>
        <v/>
      </c>
      <c r="C285" s="240"/>
      <c r="D285" s="12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s="124" t="s">
        <v>612</v>
      </c>
      <c r="G285" s="124" t="s">
        <v>490</v>
      </c>
    </row>
    <row r="286" spans="1:7" ht="25.5" thickTop="1" thickBot="1" x14ac:dyDescent="0.5">
      <c r="A286" s="229"/>
      <c r="B286" s="183"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14"/>
      <c r="D286" s="12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s="124" t="s">
        <v>612</v>
      </c>
      <c r="G286" s="124" t="s">
        <v>490</v>
      </c>
    </row>
    <row r="287" spans="1:7" ht="25.5" thickTop="1" thickBot="1" x14ac:dyDescent="0.5">
      <c r="A287" s="229"/>
      <c r="B287" s="154"/>
      <c r="C287" s="179"/>
      <c r="F287" s="124" t="s">
        <v>490</v>
      </c>
      <c r="G287" s="124" t="s">
        <v>490</v>
      </c>
    </row>
    <row r="288" spans="1:7" ht="25.5" thickTop="1" thickBot="1" x14ac:dyDescent="0.5">
      <c r="A288" s="229"/>
      <c r="B288" s="23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13"/>
      <c r="D288" s="123" t="str">
        <f>IF(OR(B289="Please select 'Yes' or 'No' from the drop down list",B289="Please select 'I confirm' or 'I do not confirm' from the drop down list"),"E","")</f>
        <v/>
      </c>
      <c r="E288" s="123" t="str">
        <f>IF(B288="Is another domestic provider required?","E",IF(B288="Please confirm that the details entered into the Entry Form are correct","B",""))</f>
        <v/>
      </c>
      <c r="F288" s="124" t="s">
        <v>612</v>
      </c>
      <c r="G288" s="124" t="s">
        <v>607</v>
      </c>
    </row>
    <row r="289" spans="1:7" ht="25.5" thickTop="1" thickBot="1" x14ac:dyDescent="0.5">
      <c r="A289" s="234" t="str">
        <f>IF(AND(B289="Choose provider from the list",C288="Yes"),"Domestic Provider "&amp;(ROW()-ROW(A$154))/5,"")</f>
        <v/>
      </c>
      <c r="B289" s="183"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240"/>
      <c r="D289" s="12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123" t="str">
        <f>IF(B289="Choose provider from the list","H","")</f>
        <v/>
      </c>
      <c r="F289" s="124" t="s">
        <v>612</v>
      </c>
      <c r="G289" s="124" t="s">
        <v>610</v>
      </c>
    </row>
    <row r="290" spans="1:7" ht="25.5" thickTop="1" thickBot="1" x14ac:dyDescent="0.5">
      <c r="A290" s="229"/>
      <c r="B290" s="183" t="str">
        <f>IF(B289&lt;&gt;"Choose provider from the list","",IF(C289&lt;&gt;"PROVIDER NOT LISTED","","Type provider name manually"))</f>
        <v/>
      </c>
      <c r="C290" s="240"/>
      <c r="D290" s="12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s="124" t="s">
        <v>612</v>
      </c>
      <c r="G290" s="124" t="s">
        <v>490</v>
      </c>
    </row>
    <row r="291" spans="1:7" ht="25.5" thickTop="1" thickBot="1" x14ac:dyDescent="0.5">
      <c r="A291" s="229"/>
      <c r="B291" s="183"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14"/>
      <c r="D291" s="12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s="124" t="s">
        <v>612</v>
      </c>
      <c r="G291" s="124" t="s">
        <v>490</v>
      </c>
    </row>
    <row r="292" spans="1:7" ht="25.5" thickTop="1" thickBot="1" x14ac:dyDescent="0.5">
      <c r="A292" s="229"/>
      <c r="B292" s="154"/>
      <c r="C292" s="179"/>
      <c r="F292" s="124" t="s">
        <v>490</v>
      </c>
      <c r="G292" s="124" t="s">
        <v>490</v>
      </c>
    </row>
    <row r="293" spans="1:7" ht="25.5" thickTop="1" thickBot="1" x14ac:dyDescent="0.5">
      <c r="A293" s="229"/>
      <c r="B293" s="23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13"/>
      <c r="D293" s="123" t="str">
        <f>IF(OR(B294="Please select 'Yes' or 'No' from the drop down list",B294="Please select 'I confirm' or 'I do not confirm' from the drop down list"),"E","")</f>
        <v/>
      </c>
      <c r="E293" s="123" t="str">
        <f>IF(B293="Is another domestic provider required?","E",IF(B293="Please confirm that the details entered into the Entry Form are correct","B",""))</f>
        <v/>
      </c>
      <c r="F293" s="124" t="s">
        <v>612</v>
      </c>
      <c r="G293" s="124" t="s">
        <v>607</v>
      </c>
    </row>
    <row r="294" spans="1:7" ht="25.5" thickTop="1" thickBot="1" x14ac:dyDescent="0.5">
      <c r="A294" s="234" t="str">
        <f>IF(AND(B294="Choose provider from the list",C293="Yes"),"Domestic Provider "&amp;(ROW()-ROW(A$154))/5,"")</f>
        <v/>
      </c>
      <c r="B294" s="183"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240"/>
      <c r="D294" s="12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123" t="str">
        <f>IF(B294="Choose provider from the list","H","")</f>
        <v/>
      </c>
      <c r="F294" s="124" t="s">
        <v>612</v>
      </c>
      <c r="G294" s="124" t="s">
        <v>610</v>
      </c>
    </row>
    <row r="295" spans="1:7" ht="25.5" thickTop="1" thickBot="1" x14ac:dyDescent="0.5">
      <c r="A295" s="229"/>
      <c r="B295" s="183" t="str">
        <f>IF(B294&lt;&gt;"Choose provider from the list","",IF(C294&lt;&gt;"PROVIDER NOT LISTED","","Type provider name manually"))</f>
        <v/>
      </c>
      <c r="C295" s="240"/>
      <c r="D295" s="12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s="124" t="s">
        <v>612</v>
      </c>
      <c r="G295" s="124" t="s">
        <v>490</v>
      </c>
    </row>
    <row r="296" spans="1:7" ht="25.5" thickTop="1" thickBot="1" x14ac:dyDescent="0.5">
      <c r="A296" s="229"/>
      <c r="B296" s="183"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14"/>
      <c r="D296" s="12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s="124" t="s">
        <v>612</v>
      </c>
      <c r="G296" s="124" t="s">
        <v>490</v>
      </c>
    </row>
    <row r="297" spans="1:7" ht="25.5" thickTop="1" thickBot="1" x14ac:dyDescent="0.5">
      <c r="A297" s="229"/>
      <c r="B297" s="154"/>
      <c r="C297" s="179"/>
      <c r="F297" s="124" t="s">
        <v>490</v>
      </c>
      <c r="G297" s="124" t="s">
        <v>490</v>
      </c>
    </row>
    <row r="298" spans="1:7" ht="25.5" thickTop="1" thickBot="1" x14ac:dyDescent="0.5">
      <c r="A298" s="229"/>
      <c r="B298" s="23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13"/>
      <c r="D298" s="123" t="str">
        <f>IF(OR(B299="Please select 'Yes' or 'No' from the drop down list",B299="Please select 'I confirm' or 'I do not confirm' from the drop down list"),"E","")</f>
        <v/>
      </c>
      <c r="E298" s="123" t="str">
        <f>IF(B298="Is another domestic provider required?","E",IF(B298="Please confirm that the details entered into the Entry Form are correct","B",""))</f>
        <v/>
      </c>
      <c r="F298" s="124" t="s">
        <v>612</v>
      </c>
      <c r="G298" s="124" t="s">
        <v>607</v>
      </c>
    </row>
    <row r="299" spans="1:7" ht="25.5" thickTop="1" thickBot="1" x14ac:dyDescent="0.5">
      <c r="A299" s="234" t="str">
        <f>IF(AND(B299="Choose provider from the list",C298="Yes"),"Domestic Provider "&amp;(ROW()-ROW(A$154))/5,"")</f>
        <v/>
      </c>
      <c r="B299" s="183"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240"/>
      <c r="D299" s="12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123" t="str">
        <f>IF(B299="Choose provider from the list","H","")</f>
        <v/>
      </c>
      <c r="F299" s="124" t="s">
        <v>612</v>
      </c>
      <c r="G299" s="124" t="s">
        <v>610</v>
      </c>
    </row>
    <row r="300" spans="1:7" ht="25.5" thickTop="1" thickBot="1" x14ac:dyDescent="0.5">
      <c r="A300" s="229"/>
      <c r="B300" s="183" t="str">
        <f>IF(B299&lt;&gt;"Choose provider from the list","",IF(C299&lt;&gt;"PROVIDER NOT LISTED","","Type provider name manually"))</f>
        <v/>
      </c>
      <c r="C300" s="240"/>
      <c r="D300" s="12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s="124" t="s">
        <v>612</v>
      </c>
      <c r="G300" s="124" t="s">
        <v>490</v>
      </c>
    </row>
    <row r="301" spans="1:7" ht="25.5" thickTop="1" thickBot="1" x14ac:dyDescent="0.5">
      <c r="A301" s="229"/>
      <c r="B301" s="183"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14"/>
      <c r="D301" s="12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s="124" t="s">
        <v>612</v>
      </c>
      <c r="G301" s="124" t="s">
        <v>490</v>
      </c>
    </row>
    <row r="302" spans="1:7" ht="25.5" thickTop="1" thickBot="1" x14ac:dyDescent="0.5">
      <c r="A302" s="229"/>
      <c r="B302" s="154"/>
      <c r="C302" s="179"/>
      <c r="F302" s="124" t="s">
        <v>490</v>
      </c>
      <c r="G302" s="124" t="s">
        <v>490</v>
      </c>
    </row>
    <row r="303" spans="1:7" ht="25.5" thickTop="1" thickBot="1" x14ac:dyDescent="0.5">
      <c r="A303" s="229"/>
      <c r="B303" s="23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13"/>
      <c r="D303" s="123" t="str">
        <f>IF(OR(B304="Please select 'Yes' or 'No' from the drop down list",B304="Please select 'I confirm' or 'I do not confirm' from the drop down list"),"E","")</f>
        <v/>
      </c>
      <c r="E303" s="123" t="str">
        <f>IF(B303="Is another domestic provider required?","E",IF(B303="Please confirm that the details entered into the Entry Form are correct","B",""))</f>
        <v/>
      </c>
      <c r="F303" s="124" t="s">
        <v>612</v>
      </c>
      <c r="G303" s="124" t="s">
        <v>607</v>
      </c>
    </row>
    <row r="304" spans="1:7" ht="25.5" thickTop="1" thickBot="1" x14ac:dyDescent="0.5">
      <c r="A304" s="234" t="str">
        <f>IF(AND(B304="Choose provider from the list",C303="Yes"),"Domestic Provider "&amp;(ROW()-ROW(A$154))/5,"")</f>
        <v/>
      </c>
      <c r="B304" s="183"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240"/>
      <c r="D304" s="12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123" t="str">
        <f>IF(B304="Choose provider from the list","H","")</f>
        <v/>
      </c>
      <c r="F304" s="124" t="s">
        <v>612</v>
      </c>
      <c r="G304" s="124" t="s">
        <v>610</v>
      </c>
    </row>
    <row r="305" spans="1:7" ht="25.5" thickTop="1" thickBot="1" x14ac:dyDescent="0.5">
      <c r="A305" s="229"/>
      <c r="B305" s="183" t="str">
        <f>IF(B304&lt;&gt;"Choose provider from the list","",IF(C304&lt;&gt;"PROVIDER NOT LISTED","","Type provider name manually"))</f>
        <v/>
      </c>
      <c r="C305" s="240"/>
      <c r="D305" s="12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s="124" t="s">
        <v>612</v>
      </c>
      <c r="G305" s="124" t="s">
        <v>490</v>
      </c>
    </row>
    <row r="306" spans="1:7" ht="25.5" thickTop="1" thickBot="1" x14ac:dyDescent="0.5">
      <c r="A306" s="229"/>
      <c r="B306" s="183"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14"/>
      <c r="D306" s="12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s="124" t="s">
        <v>612</v>
      </c>
      <c r="G306" s="124" t="s">
        <v>490</v>
      </c>
    </row>
    <row r="307" spans="1:7" ht="25.5" thickTop="1" thickBot="1" x14ac:dyDescent="0.5">
      <c r="A307" s="229"/>
      <c r="B307" s="154"/>
      <c r="C307" s="179"/>
      <c r="F307" s="124" t="s">
        <v>490</v>
      </c>
      <c r="G307" s="124" t="s">
        <v>490</v>
      </c>
    </row>
    <row r="308" spans="1:7" ht="25.5" thickTop="1" thickBot="1" x14ac:dyDescent="0.5">
      <c r="A308" s="229"/>
      <c r="B308" s="23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13"/>
      <c r="D308" s="123" t="str">
        <f>IF(OR(B309="Please select 'Yes' or 'No' from the drop down list",B309="Please select 'I confirm' or 'I do not confirm' from the drop down list"),"E","")</f>
        <v/>
      </c>
      <c r="E308" s="123" t="str">
        <f>IF(B308="Is another domestic provider required?","E",IF(B308="Please confirm that the details entered into the Entry Form are correct","B",""))</f>
        <v/>
      </c>
      <c r="F308" s="124" t="s">
        <v>612</v>
      </c>
      <c r="G308" s="124" t="s">
        <v>607</v>
      </c>
    </row>
    <row r="309" spans="1:7" ht="25.5" thickTop="1" thickBot="1" x14ac:dyDescent="0.5">
      <c r="A309" s="234" t="str">
        <f>IF(AND(B309="Choose provider from the list",C308="Yes"),"Domestic Provider "&amp;(ROW()-ROW(A$154))/5,"")</f>
        <v/>
      </c>
      <c r="B309" s="183"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240"/>
      <c r="D309" s="12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123" t="str">
        <f>IF(B309="Choose provider from the list","H","")</f>
        <v/>
      </c>
      <c r="F309" s="124" t="s">
        <v>612</v>
      </c>
      <c r="G309" s="124" t="s">
        <v>610</v>
      </c>
    </row>
    <row r="310" spans="1:7" ht="25.5" thickTop="1" thickBot="1" x14ac:dyDescent="0.5">
      <c r="A310" s="229"/>
      <c r="B310" s="183" t="str">
        <f>IF(B309&lt;&gt;"Choose provider from the list","",IF(C309&lt;&gt;"PROVIDER NOT LISTED","","Type provider name manually"))</f>
        <v/>
      </c>
      <c r="C310" s="240"/>
      <c r="D310" s="12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s="124" t="s">
        <v>612</v>
      </c>
      <c r="G310" s="124" t="s">
        <v>490</v>
      </c>
    </row>
    <row r="311" spans="1:7" ht="25.5" thickTop="1" thickBot="1" x14ac:dyDescent="0.5">
      <c r="A311" s="229"/>
      <c r="B311" s="183"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14"/>
      <c r="D311" s="12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s="124" t="s">
        <v>612</v>
      </c>
      <c r="G311" s="124" t="s">
        <v>490</v>
      </c>
    </row>
    <row r="312" spans="1:7" ht="25.5" thickTop="1" thickBot="1" x14ac:dyDescent="0.5">
      <c r="A312" s="229"/>
      <c r="B312" s="154"/>
      <c r="C312" s="179"/>
      <c r="F312" s="124" t="s">
        <v>490</v>
      </c>
      <c r="G312" s="124" t="s">
        <v>490</v>
      </c>
    </row>
    <row r="313" spans="1:7" ht="25.5" thickTop="1" thickBot="1" x14ac:dyDescent="0.5">
      <c r="A313" s="229"/>
      <c r="B313" s="23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13"/>
      <c r="D313" s="123" t="str">
        <f>IF(OR(B314="Please select 'Yes' or 'No' from the drop down list",B314="Please select 'I confirm' or 'I do not confirm' from the drop down list"),"E","")</f>
        <v/>
      </c>
      <c r="E313" s="123" t="str">
        <f>IF(B313="Is another domestic provider required?","E",IF(B313="Please confirm that the details entered into the Entry Form are correct","B",""))</f>
        <v/>
      </c>
      <c r="F313" s="124" t="s">
        <v>612</v>
      </c>
      <c r="G313" s="124" t="s">
        <v>607</v>
      </c>
    </row>
    <row r="314" spans="1:7" ht="25.5" thickTop="1" thickBot="1" x14ac:dyDescent="0.5">
      <c r="A314" s="234" t="str">
        <f>IF(AND(B314="Choose provider from the list",C313="Yes"),"Domestic Provider "&amp;(ROW()-ROW(A$154))/5,"")</f>
        <v/>
      </c>
      <c r="B314" s="183"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240"/>
      <c r="D314" s="12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123" t="str">
        <f>IF(B314="Choose provider from the list","H","")</f>
        <v/>
      </c>
      <c r="F314" s="124" t="s">
        <v>612</v>
      </c>
      <c r="G314" s="124" t="s">
        <v>610</v>
      </c>
    </row>
    <row r="315" spans="1:7" ht="25.5" thickTop="1" thickBot="1" x14ac:dyDescent="0.5">
      <c r="A315" s="229"/>
      <c r="B315" s="183" t="str">
        <f>IF(B314&lt;&gt;"Choose provider from the list","",IF(C314&lt;&gt;"PROVIDER NOT LISTED","","Type provider name manually"))</f>
        <v/>
      </c>
      <c r="C315" s="240"/>
      <c r="D315" s="12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s="124" t="s">
        <v>612</v>
      </c>
      <c r="G315" s="124" t="s">
        <v>490</v>
      </c>
    </row>
    <row r="316" spans="1:7" ht="25.5" thickTop="1" thickBot="1" x14ac:dyDescent="0.5">
      <c r="A316" s="229"/>
      <c r="B316" s="183"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14"/>
      <c r="D316" s="12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s="124" t="s">
        <v>612</v>
      </c>
      <c r="G316" s="124" t="s">
        <v>490</v>
      </c>
    </row>
    <row r="317" spans="1:7" ht="25.5" thickTop="1" thickBot="1" x14ac:dyDescent="0.5">
      <c r="A317" s="229"/>
      <c r="B317" s="154"/>
      <c r="C317" s="179"/>
      <c r="F317" s="124" t="s">
        <v>490</v>
      </c>
      <c r="G317" s="124" t="s">
        <v>490</v>
      </c>
    </row>
    <row r="318" spans="1:7" ht="25.5" thickTop="1" thickBot="1" x14ac:dyDescent="0.5">
      <c r="A318" s="229"/>
      <c r="B318" s="23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13"/>
      <c r="D318" s="123" t="str">
        <f>IF(OR(B319="Please select 'Yes' or 'No' from the drop down list",B319="Please select 'I confirm' or 'I do not confirm' from the drop down list"),"E","")</f>
        <v/>
      </c>
      <c r="E318" s="123" t="str">
        <f>IF(B318="Is another domestic provider required?","E",IF(B318="Please confirm that the details entered into the Entry Form are correct","B",""))</f>
        <v/>
      </c>
      <c r="F318" s="124" t="s">
        <v>612</v>
      </c>
      <c r="G318" s="124" t="s">
        <v>607</v>
      </c>
    </row>
    <row r="319" spans="1:7" ht="25.5" thickTop="1" thickBot="1" x14ac:dyDescent="0.5">
      <c r="A319" s="234" t="str">
        <f>IF(AND(B319="Choose provider from the list",C318="Yes"),"Domestic Provider "&amp;(ROW()-ROW(A$154))/5,"")</f>
        <v/>
      </c>
      <c r="B319" s="183"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240"/>
      <c r="D319" s="12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123" t="str">
        <f>IF(B319="Choose provider from the list","H","")</f>
        <v/>
      </c>
      <c r="F319" s="124" t="s">
        <v>612</v>
      </c>
      <c r="G319" s="124" t="s">
        <v>610</v>
      </c>
    </row>
    <row r="320" spans="1:7" ht="25.5" thickTop="1" thickBot="1" x14ac:dyDescent="0.5">
      <c r="A320" s="229"/>
      <c r="B320" s="183" t="str">
        <f>IF(B319&lt;&gt;"Choose provider from the list","",IF(C319&lt;&gt;"PROVIDER NOT LISTED","","Type provider name manually"))</f>
        <v/>
      </c>
      <c r="C320" s="240"/>
      <c r="D320" s="12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s="124" t="s">
        <v>612</v>
      </c>
      <c r="G320" s="124" t="s">
        <v>490</v>
      </c>
    </row>
    <row r="321" spans="1:7" ht="25.5" thickTop="1" thickBot="1" x14ac:dyDescent="0.5">
      <c r="A321" s="229"/>
      <c r="B321" s="183"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14"/>
      <c r="D321" s="12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s="124" t="s">
        <v>612</v>
      </c>
      <c r="G321" s="124" t="s">
        <v>490</v>
      </c>
    </row>
    <row r="322" spans="1:7" ht="25.5" thickTop="1" thickBot="1" x14ac:dyDescent="0.5">
      <c r="A322" s="229"/>
      <c r="B322" s="154"/>
      <c r="C322" s="179"/>
      <c r="F322" s="124" t="s">
        <v>490</v>
      </c>
      <c r="G322" s="124" t="s">
        <v>490</v>
      </c>
    </row>
    <row r="323" spans="1:7" ht="25.5" thickTop="1" thickBot="1" x14ac:dyDescent="0.5">
      <c r="A323" s="229"/>
      <c r="B323" s="23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13"/>
      <c r="D323" s="123" t="str">
        <f>IF(OR(B324="Please select 'Yes' or 'No' from the drop down list",B324="Please select 'I confirm' or 'I do not confirm' from the drop down list"),"E","")</f>
        <v/>
      </c>
      <c r="E323" s="123" t="str">
        <f>IF(B323="Is another domestic provider required?","E",IF(B323="Please confirm that the details entered into the Entry Form are correct","B",""))</f>
        <v/>
      </c>
      <c r="F323" s="124" t="s">
        <v>612</v>
      </c>
      <c r="G323" s="124" t="s">
        <v>607</v>
      </c>
    </row>
    <row r="324" spans="1:7" ht="25.5" thickTop="1" thickBot="1" x14ac:dyDescent="0.5">
      <c r="A324" s="234" t="str">
        <f>IF(AND(B324="Choose provider from the list",C323="Yes"),"Domestic Provider "&amp;(ROW()-ROW(A$154))/5,"")</f>
        <v/>
      </c>
      <c r="B324" s="183"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240"/>
      <c r="D324" s="12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123" t="str">
        <f>IF(B324="Choose provider from the list","H","")</f>
        <v/>
      </c>
      <c r="F324" s="124" t="s">
        <v>612</v>
      </c>
      <c r="G324" s="124" t="s">
        <v>610</v>
      </c>
    </row>
    <row r="325" spans="1:7" ht="25.5" thickTop="1" thickBot="1" x14ac:dyDescent="0.5">
      <c r="A325" s="229"/>
      <c r="B325" s="183" t="str">
        <f>IF(B324&lt;&gt;"Choose provider from the list","",IF(C324&lt;&gt;"PROVIDER NOT LISTED","","Type provider name manually"))</f>
        <v/>
      </c>
      <c r="C325" s="240"/>
      <c r="D325" s="12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s="124" t="s">
        <v>612</v>
      </c>
      <c r="G325" s="124" t="s">
        <v>490</v>
      </c>
    </row>
    <row r="326" spans="1:7" ht="25.5" thickTop="1" thickBot="1" x14ac:dyDescent="0.5">
      <c r="A326" s="229"/>
      <c r="B326" s="183"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14"/>
      <c r="D326" s="12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s="124" t="s">
        <v>612</v>
      </c>
      <c r="G326" s="124" t="s">
        <v>490</v>
      </c>
    </row>
    <row r="327" spans="1:7" ht="25.5" thickTop="1" thickBot="1" x14ac:dyDescent="0.5">
      <c r="A327" s="229"/>
      <c r="B327" s="154"/>
      <c r="C327" s="179"/>
      <c r="F327" s="124" t="s">
        <v>490</v>
      </c>
      <c r="G327" s="124" t="s">
        <v>490</v>
      </c>
    </row>
    <row r="328" spans="1:7" ht="25.5" thickTop="1" thickBot="1" x14ac:dyDescent="0.5">
      <c r="A328" s="229"/>
      <c r="B328" s="23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13"/>
      <c r="D328" s="123" t="str">
        <f>IF(OR(B329="Please select 'Yes' or 'No' from the drop down list",B329="Please select 'I confirm' or 'I do not confirm' from the drop down list"),"E","")</f>
        <v/>
      </c>
      <c r="E328" s="123" t="str">
        <f>IF(B328="Is another domestic provider required?","E",IF(B328="Please confirm that the details entered into the Entry Form are correct","B",""))</f>
        <v/>
      </c>
      <c r="F328" s="124" t="s">
        <v>612</v>
      </c>
      <c r="G328" s="124" t="s">
        <v>607</v>
      </c>
    </row>
    <row r="329" spans="1:7" ht="25.5" thickTop="1" thickBot="1" x14ac:dyDescent="0.5">
      <c r="A329" s="234" t="str">
        <f>IF(AND(B329="Choose provider from the list",C328="Yes"),"Domestic Provider "&amp;(ROW()-ROW(A$154))/5,"")</f>
        <v/>
      </c>
      <c r="B329" s="183"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240"/>
      <c r="D329" s="12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123" t="str">
        <f>IF(B329="Choose provider from the list","H","")</f>
        <v/>
      </c>
      <c r="F329" s="124" t="s">
        <v>612</v>
      </c>
      <c r="G329" s="124" t="s">
        <v>610</v>
      </c>
    </row>
    <row r="330" spans="1:7" ht="25.5" thickTop="1" thickBot="1" x14ac:dyDescent="0.5">
      <c r="A330" s="229"/>
      <c r="B330" s="183" t="str">
        <f>IF(B329&lt;&gt;"Choose provider from the list","",IF(C329&lt;&gt;"PROVIDER NOT LISTED","","Type provider name manually"))</f>
        <v/>
      </c>
      <c r="C330" s="240"/>
      <c r="D330" s="12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s="124" t="s">
        <v>612</v>
      </c>
      <c r="G330" s="124" t="s">
        <v>490</v>
      </c>
    </row>
    <row r="331" spans="1:7" ht="25.5" thickTop="1" thickBot="1" x14ac:dyDescent="0.5">
      <c r="A331" s="229"/>
      <c r="B331" s="183"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14"/>
      <c r="D331" s="12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s="124" t="s">
        <v>612</v>
      </c>
      <c r="G331" s="124" t="s">
        <v>490</v>
      </c>
    </row>
    <row r="332" spans="1:7" ht="25.5" thickTop="1" thickBot="1" x14ac:dyDescent="0.5">
      <c r="A332" s="229"/>
      <c r="B332" s="154"/>
      <c r="C332" s="179"/>
      <c r="F332" s="124" t="s">
        <v>490</v>
      </c>
      <c r="G332" s="124" t="s">
        <v>490</v>
      </c>
    </row>
    <row r="333" spans="1:7" ht="25.5" thickTop="1" thickBot="1" x14ac:dyDescent="0.5">
      <c r="A333" s="229"/>
      <c r="B333" s="23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13"/>
      <c r="D333" s="123" t="str">
        <f>IF(OR(B334="Please select 'Yes' or 'No' from the drop down list",B334="Please select 'I confirm' or 'I do not confirm' from the drop down list"),"E","")</f>
        <v/>
      </c>
      <c r="E333" s="123" t="str">
        <f>IF(B333="Is another domestic provider required?","E",IF(B333="Please confirm that the details entered into the Entry Form are correct","B",""))</f>
        <v/>
      </c>
      <c r="F333" s="124" t="s">
        <v>612</v>
      </c>
      <c r="G333" s="124" t="s">
        <v>607</v>
      </c>
    </row>
    <row r="334" spans="1:7" ht="25.5" thickTop="1" thickBot="1" x14ac:dyDescent="0.5">
      <c r="A334" s="234" t="str">
        <f>IF(AND(B334="Choose provider from the list",C333="Yes"),"Domestic Provider "&amp;(ROW()-ROW(A$154))/5,"")</f>
        <v/>
      </c>
      <c r="B334" s="183"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240"/>
      <c r="D334" s="12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123" t="str">
        <f>IF(B334="Choose provider from the list","H","")</f>
        <v/>
      </c>
      <c r="F334" s="124" t="s">
        <v>612</v>
      </c>
      <c r="G334" s="124" t="s">
        <v>610</v>
      </c>
    </row>
    <row r="335" spans="1:7" ht="25.5" thickTop="1" thickBot="1" x14ac:dyDescent="0.5">
      <c r="A335" s="229"/>
      <c r="B335" s="183" t="str">
        <f>IF(B334&lt;&gt;"Choose provider from the list","",IF(C334&lt;&gt;"PROVIDER NOT LISTED","","Type provider name manually"))</f>
        <v/>
      </c>
      <c r="C335" s="240"/>
      <c r="D335" s="12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s="124" t="s">
        <v>612</v>
      </c>
      <c r="G335" s="124" t="s">
        <v>490</v>
      </c>
    </row>
    <row r="336" spans="1:7" ht="25.5" thickTop="1" thickBot="1" x14ac:dyDescent="0.5">
      <c r="A336" s="229"/>
      <c r="B336" s="183"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14"/>
      <c r="D336" s="12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s="124" t="s">
        <v>612</v>
      </c>
      <c r="G336" s="124" t="s">
        <v>490</v>
      </c>
    </row>
    <row r="337" spans="1:7" ht="25.5" thickTop="1" thickBot="1" x14ac:dyDescent="0.5">
      <c r="A337" s="229"/>
      <c r="B337" s="154"/>
      <c r="C337" s="179"/>
      <c r="F337" s="124" t="s">
        <v>490</v>
      </c>
      <c r="G337" s="124" t="s">
        <v>490</v>
      </c>
    </row>
    <row r="338" spans="1:7" ht="25.5" thickTop="1" thickBot="1" x14ac:dyDescent="0.5">
      <c r="A338" s="229"/>
      <c r="B338" s="23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13"/>
      <c r="D338" s="123" t="str">
        <f>IF(OR(B339="Please select 'Yes' or 'No' from the drop down list",B339="Please select 'I confirm' or 'I do not confirm' from the drop down list"),"E","")</f>
        <v/>
      </c>
      <c r="E338" s="123" t="str">
        <f>IF(B338="Is another domestic provider required?","E",IF(B338="Please confirm that the details entered into the Entry Form are correct","B",""))</f>
        <v/>
      </c>
      <c r="F338" s="124" t="s">
        <v>612</v>
      </c>
      <c r="G338" s="124" t="s">
        <v>607</v>
      </c>
    </row>
    <row r="339" spans="1:7" ht="25.5" thickTop="1" thickBot="1" x14ac:dyDescent="0.5">
      <c r="A339" s="234" t="str">
        <f>IF(AND(B339="Choose provider from the list",C338="Yes"),"Domestic Provider "&amp;(ROW()-ROW(A$154))/5,"")</f>
        <v/>
      </c>
      <c r="B339" s="183"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240"/>
      <c r="D339" s="12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123" t="str">
        <f>IF(B339="Choose provider from the list","H","")</f>
        <v/>
      </c>
      <c r="F339" s="124" t="s">
        <v>612</v>
      </c>
      <c r="G339" s="124" t="s">
        <v>610</v>
      </c>
    </row>
    <row r="340" spans="1:7" ht="25.5" thickTop="1" thickBot="1" x14ac:dyDescent="0.5">
      <c r="A340" s="229"/>
      <c r="B340" s="183" t="str">
        <f>IF(B339&lt;&gt;"Choose provider from the list","",IF(C339&lt;&gt;"PROVIDER NOT LISTED","","Type provider name manually"))</f>
        <v/>
      </c>
      <c r="C340" s="240"/>
      <c r="D340" s="12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s="124" t="s">
        <v>612</v>
      </c>
      <c r="G340" s="124" t="s">
        <v>490</v>
      </c>
    </row>
    <row r="341" spans="1:7" ht="25.5" thickTop="1" thickBot="1" x14ac:dyDescent="0.5">
      <c r="A341" s="229"/>
      <c r="B341" s="183"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14"/>
      <c r="D341" s="12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s="124" t="s">
        <v>612</v>
      </c>
      <c r="G341" s="124" t="s">
        <v>490</v>
      </c>
    </row>
    <row r="342" spans="1:7" ht="25.5" thickTop="1" thickBot="1" x14ac:dyDescent="0.5">
      <c r="A342" s="229"/>
      <c r="B342" s="154"/>
      <c r="C342" s="179"/>
      <c r="F342" s="124" t="s">
        <v>490</v>
      </c>
      <c r="G342" s="124" t="s">
        <v>490</v>
      </c>
    </row>
    <row r="343" spans="1:7" ht="25.5" thickTop="1" thickBot="1" x14ac:dyDescent="0.5">
      <c r="A343" s="229"/>
      <c r="B343" s="23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13"/>
      <c r="D343" s="123" t="str">
        <f>IF(OR(B344="Please select 'Yes' or 'No' from the drop down list",B344="Please select 'I confirm' or 'I do not confirm' from the drop down list"),"E","")</f>
        <v/>
      </c>
      <c r="E343" s="123" t="str">
        <f>IF(B343="Is another domestic provider required?","E",IF(B343="Please confirm that the details entered into the Entry Form are correct","B",""))</f>
        <v/>
      </c>
      <c r="F343" s="124" t="s">
        <v>612</v>
      </c>
      <c r="G343" s="124" t="s">
        <v>607</v>
      </c>
    </row>
    <row r="344" spans="1:7" ht="25.5" thickTop="1" thickBot="1" x14ac:dyDescent="0.5">
      <c r="A344" s="234" t="str">
        <f>IF(AND(B344="Choose provider from the list",C343="Yes"),"Domestic Provider "&amp;(ROW()-ROW(A$154))/5,"")</f>
        <v/>
      </c>
      <c r="B344" s="183"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240"/>
      <c r="D344" s="12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123" t="str">
        <f>IF(B344="Choose provider from the list","H","")</f>
        <v/>
      </c>
      <c r="F344" s="124" t="s">
        <v>612</v>
      </c>
      <c r="G344" s="124" t="s">
        <v>610</v>
      </c>
    </row>
    <row r="345" spans="1:7" ht="25.5" thickTop="1" thickBot="1" x14ac:dyDescent="0.5">
      <c r="A345" s="229"/>
      <c r="B345" s="183" t="str">
        <f>IF(B344&lt;&gt;"Choose provider from the list","",IF(C344&lt;&gt;"PROVIDER NOT LISTED","","Type provider name manually"))</f>
        <v/>
      </c>
      <c r="C345" s="240"/>
      <c r="D345" s="12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s="124" t="s">
        <v>612</v>
      </c>
      <c r="G345" s="124" t="s">
        <v>490</v>
      </c>
    </row>
    <row r="346" spans="1:7" ht="25.5" thickTop="1" thickBot="1" x14ac:dyDescent="0.5">
      <c r="A346" s="229"/>
      <c r="B346" s="183"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14"/>
      <c r="D346" s="12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s="124" t="s">
        <v>612</v>
      </c>
      <c r="G346" s="124" t="s">
        <v>490</v>
      </c>
    </row>
    <row r="347" spans="1:7" ht="25.5" thickTop="1" thickBot="1" x14ac:dyDescent="0.5">
      <c r="A347" s="229"/>
      <c r="B347" s="154"/>
      <c r="C347" s="179"/>
      <c r="F347" s="124" t="s">
        <v>490</v>
      </c>
      <c r="G347" s="124" t="s">
        <v>490</v>
      </c>
    </row>
    <row r="348" spans="1:7" ht="25.5" thickTop="1" thickBot="1" x14ac:dyDescent="0.5">
      <c r="A348" s="229"/>
      <c r="B348" s="23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13"/>
      <c r="D348" s="123" t="str">
        <f>IF(OR(B349="Please select 'Yes' or 'No' from the drop down list",B349="Please select 'I confirm' or 'I do not confirm' from the drop down list"),"E","")</f>
        <v/>
      </c>
      <c r="E348" s="123" t="str">
        <f>IF(B348="Is another domestic provider required?","E",IF(B348="Please confirm that the details entered into the Entry Form are correct","B",""))</f>
        <v/>
      </c>
      <c r="F348" s="124" t="s">
        <v>612</v>
      </c>
      <c r="G348" s="124" t="s">
        <v>607</v>
      </c>
    </row>
    <row r="349" spans="1:7" ht="25.5" thickTop="1" thickBot="1" x14ac:dyDescent="0.5">
      <c r="A349" s="234" t="str">
        <f>IF(AND(B349="Choose provider from the list",C348="Yes"),"Domestic Provider "&amp;(ROW()-ROW(A$154))/5,"")</f>
        <v/>
      </c>
      <c r="B349" s="183"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240"/>
      <c r="D349" s="12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123" t="str">
        <f>IF(B349="Choose provider from the list","H","")</f>
        <v/>
      </c>
      <c r="F349" s="124" t="s">
        <v>612</v>
      </c>
      <c r="G349" s="124" t="s">
        <v>610</v>
      </c>
    </row>
    <row r="350" spans="1:7" ht="25.5" thickTop="1" thickBot="1" x14ac:dyDescent="0.5">
      <c r="A350" s="229"/>
      <c r="B350" s="183" t="str">
        <f>IF(B349&lt;&gt;"Choose provider from the list","",IF(C349&lt;&gt;"PROVIDER NOT LISTED","","Type provider name manually"))</f>
        <v/>
      </c>
      <c r="C350" s="240"/>
      <c r="D350" s="12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s="124" t="s">
        <v>612</v>
      </c>
      <c r="G350" s="124" t="s">
        <v>490</v>
      </c>
    </row>
    <row r="351" spans="1:7" ht="25.5" thickTop="1" thickBot="1" x14ac:dyDescent="0.5">
      <c r="A351" s="229"/>
      <c r="B351" s="183"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14"/>
      <c r="D351" s="12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s="124" t="s">
        <v>612</v>
      </c>
      <c r="G351" s="124" t="s">
        <v>490</v>
      </c>
    </row>
    <row r="352" spans="1:7" ht="25.5" thickTop="1" thickBot="1" x14ac:dyDescent="0.5">
      <c r="A352" s="229"/>
      <c r="B352" s="154"/>
      <c r="C352" s="179"/>
      <c r="F352" s="124" t="s">
        <v>490</v>
      </c>
      <c r="G352" s="124" t="s">
        <v>490</v>
      </c>
    </row>
    <row r="353" spans="1:7" ht="25.5" thickTop="1" thickBot="1" x14ac:dyDescent="0.5">
      <c r="A353" s="229"/>
      <c r="B353" s="23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13"/>
      <c r="D353" s="123" t="str">
        <f>IF(OR(B354="Please select 'Yes' or 'No' from the drop down list",B354="Please select 'I confirm' or 'I do not confirm' from the drop down list"),"E","")</f>
        <v/>
      </c>
      <c r="E353" s="123" t="str">
        <f>IF(B353="Is another domestic provider required?","E",IF(B353="Please confirm that the details entered into the Entry Form are correct","B",""))</f>
        <v/>
      </c>
      <c r="F353" s="124" t="s">
        <v>612</v>
      </c>
      <c r="G353" s="124" t="s">
        <v>607</v>
      </c>
    </row>
    <row r="354" spans="1:7" ht="25.5" thickTop="1" thickBot="1" x14ac:dyDescent="0.5">
      <c r="A354" s="234" t="str">
        <f>IF(AND(B354="Choose provider from the list",C353="Yes"),"Domestic Provider "&amp;(ROW()-ROW(A$154))/5,"")</f>
        <v/>
      </c>
      <c r="B354" s="183"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240"/>
      <c r="D354" s="12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123" t="str">
        <f>IF(B354="Choose provider from the list","H","")</f>
        <v/>
      </c>
      <c r="F354" s="124" t="s">
        <v>612</v>
      </c>
      <c r="G354" s="124" t="s">
        <v>610</v>
      </c>
    </row>
    <row r="355" spans="1:7" ht="25.5" thickTop="1" thickBot="1" x14ac:dyDescent="0.5">
      <c r="A355" s="229"/>
      <c r="B355" s="183" t="str">
        <f>IF(B354&lt;&gt;"Choose provider from the list","",IF(C354&lt;&gt;"PROVIDER NOT LISTED","","Type provider name manually"))</f>
        <v/>
      </c>
      <c r="C355" s="240"/>
      <c r="D355" s="12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s="124" t="s">
        <v>612</v>
      </c>
      <c r="G355" s="124" t="s">
        <v>490</v>
      </c>
    </row>
    <row r="356" spans="1:7" ht="25.5" thickTop="1" thickBot="1" x14ac:dyDescent="0.5">
      <c r="A356" s="229"/>
      <c r="B356" s="183"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14"/>
      <c r="D356" s="12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s="124" t="s">
        <v>612</v>
      </c>
      <c r="G356" s="124" t="s">
        <v>490</v>
      </c>
    </row>
    <row r="357" spans="1:7" ht="25.5" thickTop="1" thickBot="1" x14ac:dyDescent="0.5">
      <c r="A357" s="229"/>
      <c r="B357" s="154"/>
      <c r="C357" s="179"/>
      <c r="F357" s="124" t="s">
        <v>490</v>
      </c>
      <c r="G357" s="124" t="s">
        <v>490</v>
      </c>
    </row>
    <row r="358" spans="1:7" ht="25.5" thickTop="1" thickBot="1" x14ac:dyDescent="0.5">
      <c r="A358" s="229"/>
      <c r="B358" s="23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13"/>
      <c r="D358" s="123" t="str">
        <f>IF(OR(B359="Please select 'Yes' or 'No' from the drop down list",B359="Please select 'I confirm' or 'I do not confirm' from the drop down list"),"E","")</f>
        <v/>
      </c>
      <c r="E358" s="123" t="str">
        <f>IF(B358="Is another domestic provider required?","E",IF(B358="Please confirm that the details entered into the Entry Form are correct","B",""))</f>
        <v/>
      </c>
      <c r="F358" s="124" t="s">
        <v>612</v>
      </c>
      <c r="G358" s="124" t="s">
        <v>607</v>
      </c>
    </row>
    <row r="359" spans="1:7" ht="25.5" thickTop="1" thickBot="1" x14ac:dyDescent="0.5">
      <c r="A359" s="234" t="str">
        <f>IF(AND(B359="Choose provider from the list",C358="Yes"),"Domestic Provider "&amp;(ROW()-ROW(A$154))/5,"")</f>
        <v/>
      </c>
      <c r="B359" s="183"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240"/>
      <c r="D359" s="12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123" t="str">
        <f>IF(B359="Choose provider from the list","H","")</f>
        <v/>
      </c>
      <c r="F359" s="124" t="s">
        <v>612</v>
      </c>
      <c r="G359" s="124" t="s">
        <v>610</v>
      </c>
    </row>
    <row r="360" spans="1:7" ht="25.5" thickTop="1" thickBot="1" x14ac:dyDescent="0.5">
      <c r="A360" s="229"/>
      <c r="B360" s="183" t="str">
        <f>IF(B359&lt;&gt;"Choose provider from the list","",IF(C359&lt;&gt;"PROVIDER NOT LISTED","","Type provider name manually"))</f>
        <v/>
      </c>
      <c r="C360" s="240"/>
      <c r="D360" s="12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s="124" t="s">
        <v>612</v>
      </c>
      <c r="G360" s="124" t="s">
        <v>490</v>
      </c>
    </row>
    <row r="361" spans="1:7" ht="25.5" thickTop="1" thickBot="1" x14ac:dyDescent="0.5">
      <c r="A361" s="229"/>
      <c r="B361" s="183"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14"/>
      <c r="D361" s="12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s="124" t="s">
        <v>612</v>
      </c>
      <c r="G361" s="124" t="s">
        <v>490</v>
      </c>
    </row>
    <row r="362" spans="1:7" ht="25.5" thickTop="1" thickBot="1" x14ac:dyDescent="0.5">
      <c r="A362" s="229"/>
      <c r="B362" s="154"/>
      <c r="C362" s="179"/>
      <c r="F362" s="124" t="s">
        <v>490</v>
      </c>
      <c r="G362" s="124" t="s">
        <v>490</v>
      </c>
    </row>
    <row r="363" spans="1:7" ht="25.5" thickTop="1" thickBot="1" x14ac:dyDescent="0.5">
      <c r="A363" s="229"/>
      <c r="B363" s="23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13"/>
      <c r="D363" s="123" t="str">
        <f>IF(OR(B364="Please select 'Yes' or 'No' from the drop down list",B364="Please select 'I confirm' or 'I do not confirm' from the drop down list"),"E","")</f>
        <v/>
      </c>
      <c r="E363" s="123" t="str">
        <f>IF(B363="Is another domestic provider required?","E",IF(B363="Please confirm that the details entered into the Entry Form are correct","B",""))</f>
        <v/>
      </c>
      <c r="F363" s="124" t="s">
        <v>612</v>
      </c>
      <c r="G363" s="124" t="s">
        <v>607</v>
      </c>
    </row>
    <row r="364" spans="1:7" ht="25.5" thickTop="1" thickBot="1" x14ac:dyDescent="0.5">
      <c r="A364" s="234" t="str">
        <f>IF(AND(B364="Choose provider from the list",C363="Yes"),"Domestic Provider "&amp;(ROW()-ROW(A$154))/5,"")</f>
        <v/>
      </c>
      <c r="B364" s="183"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240"/>
      <c r="D364" s="12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123" t="str">
        <f>IF(B364="Choose provider from the list","H","")</f>
        <v/>
      </c>
      <c r="F364" s="124" t="s">
        <v>612</v>
      </c>
      <c r="G364" s="124" t="s">
        <v>610</v>
      </c>
    </row>
    <row r="365" spans="1:7" ht="25.5" thickTop="1" thickBot="1" x14ac:dyDescent="0.5">
      <c r="A365" s="229"/>
      <c r="B365" s="183" t="str">
        <f>IF(B364&lt;&gt;"Choose provider from the list","",IF(C364&lt;&gt;"PROVIDER NOT LISTED","","Type provider name manually"))</f>
        <v/>
      </c>
      <c r="C365" s="240"/>
      <c r="D365" s="12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s="124" t="s">
        <v>612</v>
      </c>
      <c r="G365" s="124" t="s">
        <v>490</v>
      </c>
    </row>
    <row r="366" spans="1:7" ht="25.5" thickTop="1" thickBot="1" x14ac:dyDescent="0.5">
      <c r="A366" s="229"/>
      <c r="B366" s="183"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14"/>
      <c r="D366" s="12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s="124" t="s">
        <v>612</v>
      </c>
      <c r="G366" s="124" t="s">
        <v>490</v>
      </c>
    </row>
    <row r="367" spans="1:7" ht="25.5" thickTop="1" thickBot="1" x14ac:dyDescent="0.5">
      <c r="A367" s="229"/>
      <c r="B367" s="154"/>
      <c r="C367" s="179"/>
      <c r="F367" s="124" t="s">
        <v>490</v>
      </c>
      <c r="G367" s="124" t="s">
        <v>490</v>
      </c>
    </row>
    <row r="368" spans="1:7" ht="25.5" thickTop="1" thickBot="1" x14ac:dyDescent="0.5">
      <c r="A368" s="229"/>
      <c r="B368" s="23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13"/>
      <c r="D368" s="123" t="str">
        <f>IF(OR(B369="Please select 'Yes' or 'No' from the drop down list",B369="Please select 'I confirm' or 'I do not confirm' from the drop down list"),"E","")</f>
        <v/>
      </c>
      <c r="E368" s="123" t="str">
        <f>IF(B368="Is another domestic provider required?","E",IF(B368="Please confirm that the details entered into the Entry Form are correct","B",""))</f>
        <v/>
      </c>
      <c r="F368" s="124" t="s">
        <v>612</v>
      </c>
      <c r="G368" s="124" t="s">
        <v>607</v>
      </c>
    </row>
    <row r="369" spans="1:7" ht="25.5" thickTop="1" thickBot="1" x14ac:dyDescent="0.5">
      <c r="A369" s="234" t="str">
        <f>IF(AND(B369="Choose provider from the list",C368="Yes"),"Domestic Provider "&amp;(ROW()-ROW(A$154))/5,"")</f>
        <v/>
      </c>
      <c r="B369" s="183"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240"/>
      <c r="D369" s="12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123" t="str">
        <f>IF(B369="Choose provider from the list","H","")</f>
        <v/>
      </c>
      <c r="F369" s="124" t="s">
        <v>612</v>
      </c>
      <c r="G369" s="124" t="s">
        <v>610</v>
      </c>
    </row>
    <row r="370" spans="1:7" ht="25.5" thickTop="1" thickBot="1" x14ac:dyDescent="0.5">
      <c r="A370" s="229"/>
      <c r="B370" s="183" t="str">
        <f>IF(B369&lt;&gt;"Choose provider from the list","",IF(C369&lt;&gt;"PROVIDER NOT LISTED","","Type provider name manually"))</f>
        <v/>
      </c>
      <c r="C370" s="240"/>
      <c r="D370" s="12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s="124" t="s">
        <v>612</v>
      </c>
      <c r="G370" s="124" t="s">
        <v>490</v>
      </c>
    </row>
    <row r="371" spans="1:7" ht="25.5" thickTop="1" thickBot="1" x14ac:dyDescent="0.5">
      <c r="A371" s="229"/>
      <c r="B371" s="183"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14"/>
      <c r="D371" s="12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s="124" t="s">
        <v>612</v>
      </c>
      <c r="G371" s="124" t="s">
        <v>490</v>
      </c>
    </row>
    <row r="372" spans="1:7" ht="25.5" thickTop="1" thickBot="1" x14ac:dyDescent="0.5">
      <c r="A372" s="229"/>
      <c r="B372" s="154"/>
      <c r="C372" s="179"/>
      <c r="F372" s="124" t="s">
        <v>490</v>
      </c>
      <c r="G372" s="124" t="s">
        <v>490</v>
      </c>
    </row>
    <row r="373" spans="1:7" ht="25.5" thickTop="1" thickBot="1" x14ac:dyDescent="0.5">
      <c r="A373" s="229"/>
      <c r="B373" s="23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13"/>
      <c r="D373" s="123" t="str">
        <f>IF(OR(B374="Please select 'Yes' or 'No' from the drop down list",B374="Please select 'I confirm' or 'I do not confirm' from the drop down list"),"E","")</f>
        <v/>
      </c>
      <c r="E373" s="123" t="str">
        <f>IF(B373="Is another domestic provider required?","E",IF(B373="Please confirm that the details entered into the Entry Form are correct","B",""))</f>
        <v/>
      </c>
      <c r="F373" s="124" t="s">
        <v>612</v>
      </c>
      <c r="G373" s="124" t="s">
        <v>607</v>
      </c>
    </row>
    <row r="374" spans="1:7" ht="25.5" thickTop="1" thickBot="1" x14ac:dyDescent="0.5">
      <c r="A374" s="234" t="str">
        <f>IF(AND(B374="Choose provider from the list",C373="Yes"),"Domestic Provider "&amp;(ROW()-ROW(A$154))/5,"")</f>
        <v/>
      </c>
      <c r="B374" s="183"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240"/>
      <c r="D374" s="12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123" t="str">
        <f>IF(B374="Choose provider from the list","H","")</f>
        <v/>
      </c>
      <c r="F374" s="124" t="s">
        <v>612</v>
      </c>
      <c r="G374" s="124" t="s">
        <v>610</v>
      </c>
    </row>
    <row r="375" spans="1:7" ht="25.5" thickTop="1" thickBot="1" x14ac:dyDescent="0.5">
      <c r="A375" s="229"/>
      <c r="B375" s="183" t="str">
        <f>IF(B374&lt;&gt;"Choose provider from the list","",IF(C374&lt;&gt;"PROVIDER NOT LISTED","","Type provider name manually"))</f>
        <v/>
      </c>
      <c r="C375" s="240"/>
      <c r="D375" s="12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s="124" t="s">
        <v>612</v>
      </c>
      <c r="G375" s="124" t="s">
        <v>490</v>
      </c>
    </row>
    <row r="376" spans="1:7" ht="25.5" thickTop="1" thickBot="1" x14ac:dyDescent="0.5">
      <c r="A376" s="229"/>
      <c r="B376" s="183"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14"/>
      <c r="D376" s="12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s="124" t="s">
        <v>612</v>
      </c>
      <c r="G376" s="124" t="s">
        <v>490</v>
      </c>
    </row>
    <row r="377" spans="1:7" ht="25.5" thickTop="1" thickBot="1" x14ac:dyDescent="0.5">
      <c r="A377" s="229"/>
      <c r="B377" s="154"/>
      <c r="C377" s="179"/>
      <c r="F377" s="124" t="s">
        <v>490</v>
      </c>
      <c r="G377" s="124" t="s">
        <v>490</v>
      </c>
    </row>
    <row r="378" spans="1:7" ht="25.5" thickTop="1" thickBot="1" x14ac:dyDescent="0.5">
      <c r="A378" s="229"/>
      <c r="B378" s="23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13"/>
      <c r="D378" s="123" t="str">
        <f>IF(OR(B379="Please select 'Yes' or 'No' from the drop down list",B379="Please select 'I confirm' or 'I do not confirm' from the drop down list"),"E","")</f>
        <v/>
      </c>
      <c r="E378" s="123" t="str">
        <f>IF(B378="Is another domestic provider required?","E",IF(B378="Please confirm that the details entered into the Entry Form are correct","B",""))</f>
        <v/>
      </c>
      <c r="F378" s="124" t="s">
        <v>612</v>
      </c>
      <c r="G378" s="124" t="s">
        <v>607</v>
      </c>
    </row>
    <row r="379" spans="1:7" ht="25.5" thickTop="1" thickBot="1" x14ac:dyDescent="0.5">
      <c r="A379" s="234" t="str">
        <f>IF(AND(B379="Choose provider from the list",C378="Yes"),"Domestic Provider "&amp;(ROW()-ROW(A$154))/5,"")</f>
        <v/>
      </c>
      <c r="B379" s="183"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240"/>
      <c r="D379" s="12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123" t="str">
        <f>IF(B379="Choose provider from the list","H","")</f>
        <v/>
      </c>
      <c r="F379" s="124" t="s">
        <v>612</v>
      </c>
      <c r="G379" s="124" t="s">
        <v>610</v>
      </c>
    </row>
    <row r="380" spans="1:7" ht="25.5" thickTop="1" thickBot="1" x14ac:dyDescent="0.5">
      <c r="A380" s="229"/>
      <c r="B380" s="183" t="str">
        <f>IF(B379&lt;&gt;"Choose provider from the list","",IF(C379&lt;&gt;"PROVIDER NOT LISTED","","Type provider name manually"))</f>
        <v/>
      </c>
      <c r="C380" s="240"/>
      <c r="D380" s="12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s="124" t="s">
        <v>612</v>
      </c>
      <c r="G380" s="124" t="s">
        <v>490</v>
      </c>
    </row>
    <row r="381" spans="1:7" ht="25.5" thickTop="1" thickBot="1" x14ac:dyDescent="0.5">
      <c r="A381" s="229"/>
      <c r="B381" s="183"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14"/>
      <c r="D381" s="12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s="124" t="s">
        <v>612</v>
      </c>
      <c r="G381" s="124" t="s">
        <v>490</v>
      </c>
    </row>
    <row r="382" spans="1:7" ht="25.5" thickTop="1" thickBot="1" x14ac:dyDescent="0.5">
      <c r="A382" s="229"/>
      <c r="B382" s="154"/>
      <c r="C382" s="179"/>
      <c r="F382" s="124" t="s">
        <v>490</v>
      </c>
      <c r="G382" s="124" t="s">
        <v>490</v>
      </c>
    </row>
    <row r="383" spans="1:7" ht="25.5" thickTop="1" thickBot="1" x14ac:dyDescent="0.5">
      <c r="A383" s="229"/>
      <c r="B383" s="23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13"/>
      <c r="D383" s="123" t="str">
        <f>IF(OR(B384="Please select 'Yes' or 'No' from the drop down list",B384="Please select 'I confirm' or 'I do not confirm' from the drop down list"),"E","")</f>
        <v/>
      </c>
      <c r="E383" s="123" t="str">
        <f>IF(B383="Is another domestic provider required?","E",IF(B383="Please confirm that the details entered into the Entry Form are correct","B",""))</f>
        <v/>
      </c>
      <c r="F383" s="124" t="s">
        <v>612</v>
      </c>
      <c r="G383" s="124" t="s">
        <v>607</v>
      </c>
    </row>
    <row r="384" spans="1:7" ht="25.5" thickTop="1" thickBot="1" x14ac:dyDescent="0.5">
      <c r="A384" s="234" t="str">
        <f>IF(AND(B384="Choose provider from the list",C383="Yes"),"Domestic Provider "&amp;(ROW()-ROW(A$154))/5,"")</f>
        <v/>
      </c>
      <c r="B384" s="183"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240"/>
      <c r="D384" s="12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123" t="str">
        <f>IF(B384="Choose provider from the list","H","")</f>
        <v/>
      </c>
      <c r="F384" s="124" t="s">
        <v>612</v>
      </c>
      <c r="G384" s="124" t="s">
        <v>610</v>
      </c>
    </row>
    <row r="385" spans="1:7" ht="25.5" thickTop="1" thickBot="1" x14ac:dyDescent="0.5">
      <c r="A385" s="229"/>
      <c r="B385" s="183" t="str">
        <f>IF(B384&lt;&gt;"Choose provider from the list","",IF(C384&lt;&gt;"PROVIDER NOT LISTED","","Type provider name manually"))</f>
        <v/>
      </c>
      <c r="C385" s="240"/>
      <c r="D385" s="12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s="124" t="s">
        <v>612</v>
      </c>
      <c r="G385" s="124" t="s">
        <v>490</v>
      </c>
    </row>
    <row r="386" spans="1:7" ht="25.5" thickTop="1" thickBot="1" x14ac:dyDescent="0.5">
      <c r="A386" s="229"/>
      <c r="B386" s="183"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14"/>
      <c r="D386" s="12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s="124" t="s">
        <v>612</v>
      </c>
      <c r="G386" s="124" t="s">
        <v>490</v>
      </c>
    </row>
    <row r="387" spans="1:7" ht="25.5" thickTop="1" thickBot="1" x14ac:dyDescent="0.5">
      <c r="A387" s="229"/>
      <c r="B387" s="154"/>
      <c r="C387" s="179"/>
      <c r="F387" s="124" t="s">
        <v>490</v>
      </c>
      <c r="G387" s="124" t="s">
        <v>490</v>
      </c>
    </row>
    <row r="388" spans="1:7" ht="25.5" thickTop="1" thickBot="1" x14ac:dyDescent="0.5">
      <c r="A388" s="229"/>
      <c r="B388" s="23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13"/>
      <c r="D388" s="123" t="str">
        <f>IF(OR(B389="Please select 'Yes' or 'No' from the drop down list",B389="Please select 'I confirm' or 'I do not confirm' from the drop down list"),"E","")</f>
        <v/>
      </c>
      <c r="E388" s="123" t="str">
        <f>IF(B388="Is another domestic provider required?","E",IF(B388="Please confirm that the details entered into the Entry Form are correct","B",""))</f>
        <v/>
      </c>
      <c r="F388" s="124" t="s">
        <v>612</v>
      </c>
      <c r="G388" s="124" t="s">
        <v>607</v>
      </c>
    </row>
    <row r="389" spans="1:7" ht="25.5" thickTop="1" thickBot="1" x14ac:dyDescent="0.5">
      <c r="A389" s="234" t="str">
        <f>IF(AND(B389="Choose provider from the list",C388="Yes"),"Domestic Provider "&amp;(ROW()-ROW(A$154))/5,"")</f>
        <v/>
      </c>
      <c r="B389" s="183"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240"/>
      <c r="D389" s="12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123" t="str">
        <f>IF(B389="Choose provider from the list","H","")</f>
        <v/>
      </c>
      <c r="F389" s="124" t="s">
        <v>612</v>
      </c>
      <c r="G389" s="124" t="s">
        <v>610</v>
      </c>
    </row>
    <row r="390" spans="1:7" ht="25.5" thickTop="1" thickBot="1" x14ac:dyDescent="0.5">
      <c r="A390" s="229"/>
      <c r="B390" s="183" t="str">
        <f>IF(B389&lt;&gt;"Choose provider from the list","",IF(C389&lt;&gt;"PROVIDER NOT LISTED","","Type provider name manually"))</f>
        <v/>
      </c>
      <c r="C390" s="240"/>
      <c r="D390" s="12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s="124" t="s">
        <v>612</v>
      </c>
      <c r="G390" s="124" t="s">
        <v>490</v>
      </c>
    </row>
    <row r="391" spans="1:7" ht="25.5" thickTop="1" thickBot="1" x14ac:dyDescent="0.5">
      <c r="A391" s="229"/>
      <c r="B391" s="183"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14"/>
      <c r="D391" s="12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s="124" t="s">
        <v>612</v>
      </c>
      <c r="G391" s="124" t="s">
        <v>490</v>
      </c>
    </row>
    <row r="392" spans="1:7" ht="25.5" thickTop="1" thickBot="1" x14ac:dyDescent="0.5">
      <c r="A392" s="229"/>
      <c r="B392" s="154"/>
      <c r="C392" s="179"/>
      <c r="F392" s="124" t="s">
        <v>490</v>
      </c>
      <c r="G392" s="124" t="s">
        <v>490</v>
      </c>
    </row>
    <row r="393" spans="1:7" ht="25.5" thickTop="1" thickBot="1" x14ac:dyDescent="0.5">
      <c r="A393" s="229"/>
      <c r="B393" s="23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13"/>
      <c r="D393" s="123" t="str">
        <f>IF(OR(B394="Please select 'Yes' or 'No' from the drop down list",B394="Please select 'I confirm' or 'I do not confirm' from the drop down list"),"E","")</f>
        <v/>
      </c>
      <c r="E393" s="123" t="str">
        <f>IF(B393="Is another domestic provider required?","E",IF(B393="Please confirm that the details entered into the Entry Form are correct","B",""))</f>
        <v/>
      </c>
      <c r="F393" s="124" t="s">
        <v>612</v>
      </c>
      <c r="G393" s="124" t="s">
        <v>607</v>
      </c>
    </row>
    <row r="394" spans="1:7" ht="25.5" thickTop="1" thickBot="1" x14ac:dyDescent="0.5">
      <c r="A394" s="234" t="str">
        <f>IF(AND(B394="Choose provider from the list",C393="Yes"),"Domestic Provider "&amp;(ROW()-ROW(A$154))/5,"")</f>
        <v/>
      </c>
      <c r="B394" s="183"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240"/>
      <c r="D394" s="12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123" t="str">
        <f>IF(B394="Choose provider from the list","H","")</f>
        <v/>
      </c>
      <c r="F394" s="124" t="s">
        <v>612</v>
      </c>
      <c r="G394" s="124" t="s">
        <v>610</v>
      </c>
    </row>
    <row r="395" spans="1:7" ht="25.5" thickTop="1" thickBot="1" x14ac:dyDescent="0.5">
      <c r="A395" s="229"/>
      <c r="B395" s="183" t="str">
        <f>IF(B394&lt;&gt;"Choose provider from the list","",IF(C394&lt;&gt;"PROVIDER NOT LISTED","","Type provider name manually"))</f>
        <v/>
      </c>
      <c r="C395" s="240"/>
      <c r="D395" s="12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s="124" t="s">
        <v>612</v>
      </c>
      <c r="G395" s="124" t="s">
        <v>490</v>
      </c>
    </row>
    <row r="396" spans="1:7" ht="25.5" thickTop="1" thickBot="1" x14ac:dyDescent="0.5">
      <c r="A396" s="229"/>
      <c r="B396" s="183"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14"/>
      <c r="D396" s="12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s="124" t="s">
        <v>612</v>
      </c>
      <c r="G396" s="124" t="s">
        <v>490</v>
      </c>
    </row>
    <row r="397" spans="1:7" ht="25.5" thickTop="1" thickBot="1" x14ac:dyDescent="0.5">
      <c r="A397" s="229"/>
      <c r="B397" s="154"/>
      <c r="C397" s="179"/>
      <c r="F397" s="124" t="s">
        <v>490</v>
      </c>
      <c r="G397" s="124" t="s">
        <v>490</v>
      </c>
    </row>
    <row r="398" spans="1:7" ht="25.5" thickTop="1" thickBot="1" x14ac:dyDescent="0.5">
      <c r="A398" s="229"/>
      <c r="B398" s="23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13"/>
      <c r="D398" s="123" t="str">
        <f>IF(OR(B399="Please select 'Yes' or 'No' from the drop down list",B399="Please select 'I confirm' or 'I do not confirm' from the drop down list"),"E","")</f>
        <v/>
      </c>
      <c r="E398" s="123" t="str">
        <f>IF(B398="Is another domestic provider required?","E",IF(B398="Please confirm that the details entered into the Entry Form are correct","B",""))</f>
        <v/>
      </c>
      <c r="F398" s="124" t="s">
        <v>612</v>
      </c>
      <c r="G398" s="124" t="s">
        <v>607</v>
      </c>
    </row>
    <row r="399" spans="1:7" ht="25.5" thickTop="1" thickBot="1" x14ac:dyDescent="0.5">
      <c r="A399" s="234" t="str">
        <f>IF(AND(B399="Choose provider from the list",C398="Yes"),"Domestic Provider "&amp;(ROW()-ROW(A$154))/5,"")</f>
        <v/>
      </c>
      <c r="B399" s="183"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240"/>
      <c r="D399" s="12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123" t="str">
        <f>IF(B399="Choose provider from the list","H","")</f>
        <v/>
      </c>
      <c r="F399" s="124" t="s">
        <v>612</v>
      </c>
      <c r="G399" s="124" t="s">
        <v>610</v>
      </c>
    </row>
    <row r="400" spans="1:7" ht="25.5" thickTop="1" thickBot="1" x14ac:dyDescent="0.5">
      <c r="A400" s="229"/>
      <c r="B400" s="183" t="str">
        <f>IF(B399&lt;&gt;"Choose provider from the list","",IF(C399&lt;&gt;"PROVIDER NOT LISTED","","Type provider name manually"))</f>
        <v/>
      </c>
      <c r="C400" s="240"/>
      <c r="D400" s="12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s="124" t="s">
        <v>612</v>
      </c>
      <c r="G400" s="124" t="s">
        <v>490</v>
      </c>
    </row>
    <row r="401" spans="1:7" ht="25.5" thickTop="1" thickBot="1" x14ac:dyDescent="0.5">
      <c r="A401" s="229"/>
      <c r="B401" s="183"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14"/>
      <c r="D401" s="12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s="124" t="s">
        <v>612</v>
      </c>
      <c r="G401" s="124" t="s">
        <v>490</v>
      </c>
    </row>
    <row r="402" spans="1:7" ht="25.5" thickTop="1" thickBot="1" x14ac:dyDescent="0.5">
      <c r="A402" s="229"/>
      <c r="B402" s="154"/>
      <c r="C402" s="179"/>
      <c r="F402" s="124" t="s">
        <v>490</v>
      </c>
      <c r="G402" s="124" t="s">
        <v>490</v>
      </c>
    </row>
    <row r="403" spans="1:7" ht="25.5" thickTop="1" thickBot="1" x14ac:dyDescent="0.5">
      <c r="A403" s="229"/>
      <c r="B403" s="23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13"/>
      <c r="D403" s="123" t="str">
        <f>IF(OR(B404="Please select 'Yes' or 'No' from the drop down list",B404="Please select 'I confirm' or 'I do not confirm' from the drop down list"),"E","")</f>
        <v/>
      </c>
      <c r="E403" s="123" t="str">
        <f>IF(B403="Is another domestic provider required?","E",IF(B403="Please confirm that the details entered into the Entry Form are correct","B",""))</f>
        <v/>
      </c>
      <c r="F403" s="124" t="s">
        <v>612</v>
      </c>
      <c r="G403" s="124" t="s">
        <v>607</v>
      </c>
    </row>
    <row r="404" spans="1:7" ht="25.5" thickTop="1" thickBot="1" x14ac:dyDescent="0.5">
      <c r="A404" s="234" t="str">
        <f>IF(AND(B404="Choose provider from the list",C403="Yes"),"Domestic Provider "&amp;(ROW()-ROW(A$154))/5,"")</f>
        <v/>
      </c>
      <c r="B404" s="183"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240"/>
      <c r="D404" s="12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123" t="str">
        <f>IF(B404="Choose provider from the list","H","")</f>
        <v/>
      </c>
      <c r="F404" s="124" t="s">
        <v>612</v>
      </c>
      <c r="G404" s="124" t="s">
        <v>610</v>
      </c>
    </row>
    <row r="405" spans="1:7" ht="25.5" thickTop="1" thickBot="1" x14ac:dyDescent="0.5">
      <c r="A405" s="229"/>
      <c r="B405" s="183" t="str">
        <f>IF(B404&lt;&gt;"Choose provider from the list","",IF(C404&lt;&gt;"PROVIDER NOT LISTED","","Type provider name manually"))</f>
        <v/>
      </c>
      <c r="C405" s="240"/>
      <c r="D405" s="12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s="124" t="s">
        <v>612</v>
      </c>
      <c r="G405" s="124" t="s">
        <v>490</v>
      </c>
    </row>
    <row r="406" spans="1:7" ht="25.5" thickTop="1" thickBot="1" x14ac:dyDescent="0.5">
      <c r="A406" s="229"/>
      <c r="B406" s="183"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14"/>
      <c r="D406" s="12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s="124" t="s">
        <v>612</v>
      </c>
      <c r="G406" s="124" t="s">
        <v>490</v>
      </c>
    </row>
    <row r="407" spans="1:7" ht="25.5" thickTop="1" thickBot="1" x14ac:dyDescent="0.5">
      <c r="A407" s="235"/>
      <c r="B407" s="200" t="str">
        <f>IF(ISNUMBER(MATCH("Entry Form complete - proceed to summary sheet",$B$164:$B$406,0)),"Entry Form complete","")</f>
        <v>Entry Form complete</v>
      </c>
      <c r="C407" s="201"/>
      <c r="F407" s="124" t="s">
        <v>490</v>
      </c>
      <c r="G407" s="124" t="s">
        <v>490</v>
      </c>
    </row>
  </sheetData>
  <sheetProtection algorithmName="SHA-256" hashValue="PUxQ3FcqdfvzoYSFnlrwl97enCOInDZZ0ExIN4f5og0=" saltValue="Ys88DeU+MsBKqS4+DHuwBQ==" spinCount="100000" sheet="1" objects="1" scenarios="1"/>
  <conditionalFormatting sqref="A27:C30">
    <cfRule type="expression" dxfId="793" priority="9171">
      <formula>$B$25&lt;&gt;"Proceed below"</formula>
    </cfRule>
  </conditionalFormatting>
  <conditionalFormatting sqref="A35:C35 A34:B34">
    <cfRule type="expression" dxfId="792" priority="9169">
      <formula>$B$32&lt;&gt;"Proceed below"</formula>
    </cfRule>
  </conditionalFormatting>
  <conditionalFormatting sqref="A39:C43">
    <cfRule type="expression" dxfId="791" priority="9168">
      <formula>$B$37&lt;&gt;"Proceed below"</formula>
    </cfRule>
  </conditionalFormatting>
  <conditionalFormatting sqref="A47:C56">
    <cfRule type="expression" dxfId="790" priority="9167">
      <formula>$B$45&lt;&gt;"Proceed below"</formula>
    </cfRule>
  </conditionalFormatting>
  <conditionalFormatting sqref="A60:C68">
    <cfRule type="expression" dxfId="789" priority="9166">
      <formula>$B$58&lt;&gt;"Proceed below"</formula>
    </cfRule>
  </conditionalFormatting>
  <conditionalFormatting sqref="A72:C81">
    <cfRule type="expression" dxfId="788" priority="9165">
      <formula>$B$70&lt;&gt;"Proceed below"</formula>
    </cfRule>
  </conditionalFormatting>
  <conditionalFormatting sqref="A85:C93">
    <cfRule type="expression" dxfId="787" priority="9164">
      <formula>$B$83&lt;&gt;"Proceed below"</formula>
    </cfRule>
  </conditionalFormatting>
  <conditionalFormatting sqref="A97:C100">
    <cfRule type="expression" dxfId="786" priority="9163">
      <formula>$B$95&lt;&gt;"Proceed below"</formula>
    </cfRule>
  </conditionalFormatting>
  <conditionalFormatting sqref="A104:C105">
    <cfRule type="expression" dxfId="785" priority="9162">
      <formula>$B$102&lt;&gt;"Proceed below"</formula>
    </cfRule>
  </conditionalFormatting>
  <conditionalFormatting sqref="A109:C112">
    <cfRule type="expression" dxfId="784" priority="9161">
      <formula>$B$107&lt;&gt;"Proceed below"</formula>
    </cfRule>
  </conditionalFormatting>
  <conditionalFormatting sqref="A116:C122">
    <cfRule type="expression" dxfId="783" priority="9160">
      <formula>$B$114&lt;&gt;"Proceed below"</formula>
    </cfRule>
  </conditionalFormatting>
  <conditionalFormatting sqref="A126:C130">
    <cfRule type="expression" dxfId="782" priority="9159">
      <formula>$B$124&lt;&gt;"Proceed below"</formula>
    </cfRule>
  </conditionalFormatting>
  <conditionalFormatting sqref="A134:C140">
    <cfRule type="expression" dxfId="781" priority="9158">
      <formula>$B$132&lt;&gt;"Proceed below"</formula>
    </cfRule>
  </conditionalFormatting>
  <conditionalFormatting sqref="A154:C156">
    <cfRule type="expression" dxfId="780" priority="9157">
      <formula>$B$152&lt;&gt;"Proceed below"</formula>
    </cfRule>
  </conditionalFormatting>
  <conditionalFormatting sqref="A26:C26">
    <cfRule type="expression" dxfId="779" priority="9152">
      <formula>$B$25&lt;&gt;"Proceed below"</formula>
    </cfRule>
  </conditionalFormatting>
  <conditionalFormatting sqref="A33:C33">
    <cfRule type="expression" dxfId="778" priority="9151">
      <formula>$B$32&lt;&gt;"Proceed below"</formula>
    </cfRule>
  </conditionalFormatting>
  <conditionalFormatting sqref="A38:C38">
    <cfRule type="expression" dxfId="777" priority="9150">
      <formula>$B$37&lt;&gt;"Proceed below"</formula>
    </cfRule>
  </conditionalFormatting>
  <conditionalFormatting sqref="A46:C46">
    <cfRule type="expression" dxfId="776" priority="9149">
      <formula>$B$45&lt;&gt;"Proceed below"</formula>
    </cfRule>
  </conditionalFormatting>
  <conditionalFormatting sqref="A71:C71">
    <cfRule type="expression" dxfId="775" priority="9148">
      <formula>$B$70&lt;&gt;"Proceed below"</formula>
    </cfRule>
  </conditionalFormatting>
  <conditionalFormatting sqref="A96:C96">
    <cfRule type="expression" dxfId="774" priority="9147">
      <formula>$B$95&lt;&gt;"Proceed below"</formula>
    </cfRule>
  </conditionalFormatting>
  <conditionalFormatting sqref="A103:C103">
    <cfRule type="expression" dxfId="773" priority="9146">
      <formula>$B$102&lt;&gt;"Proceed below"</formula>
    </cfRule>
  </conditionalFormatting>
  <conditionalFormatting sqref="A108:C108">
    <cfRule type="expression" dxfId="772" priority="9145">
      <formula>$B$107&lt;&gt;"Proceed below"</formula>
    </cfRule>
  </conditionalFormatting>
  <conditionalFormatting sqref="A115:C115">
    <cfRule type="expression" dxfId="771" priority="9144">
      <formula>$B$114&lt;&gt;"Proceed below"</formula>
    </cfRule>
  </conditionalFormatting>
  <conditionalFormatting sqref="A133:C133">
    <cfRule type="expression" dxfId="770" priority="9143">
      <formula>$B$132&lt;&gt;"Proceed below"</formula>
    </cfRule>
  </conditionalFormatting>
  <conditionalFormatting sqref="A144:C150">
    <cfRule type="expression" dxfId="769" priority="9142">
      <formula>$B$142&lt;&gt;"Proceed below"</formula>
    </cfRule>
  </conditionalFormatting>
  <conditionalFormatting sqref="A143:C143">
    <cfRule type="expression" dxfId="768" priority="9141">
      <formula>$B$142&lt;&gt;"Proceed below"</formula>
    </cfRule>
  </conditionalFormatting>
  <conditionalFormatting sqref="A153:C153">
    <cfRule type="expression" dxfId="767" priority="9140">
      <formula>$B$152&lt;&gt;"Proceed below"</formula>
    </cfRule>
  </conditionalFormatting>
  <conditionalFormatting sqref="A159:C159">
    <cfRule type="expression" dxfId="766" priority="9139">
      <formula>$B$158&lt;&gt;"Proceed below"</formula>
    </cfRule>
  </conditionalFormatting>
  <conditionalFormatting sqref="A160:C162">
    <cfRule type="expression" dxfId="765" priority="9138">
      <formula>$B$158&lt;&gt;"Proceed below"</formula>
    </cfRule>
  </conditionalFormatting>
  <conditionalFormatting sqref="B165:C165">
    <cfRule type="expression" dxfId="764" priority="7101">
      <formula>$B165&lt;&gt;"Type provider name manually"</formula>
    </cfRule>
  </conditionalFormatting>
  <conditionalFormatting sqref="A31:C31">
    <cfRule type="expression" dxfId="763" priority="7100">
      <formula>$B$25&lt;&gt;"Proceed below"</formula>
    </cfRule>
  </conditionalFormatting>
  <conditionalFormatting sqref="A36:C36">
    <cfRule type="expression" dxfId="762" priority="7099">
      <formula>$B$32&lt;&gt;"Proceed below"</formula>
    </cfRule>
  </conditionalFormatting>
  <conditionalFormatting sqref="A44:C44">
    <cfRule type="expression" dxfId="761" priority="7098">
      <formula>$B$37&lt;&gt;"Proceed below"</formula>
    </cfRule>
  </conditionalFormatting>
  <conditionalFormatting sqref="A57:C57">
    <cfRule type="expression" dxfId="760" priority="7097">
      <formula>$B$45&lt;&gt;"Proceed below"</formula>
    </cfRule>
  </conditionalFormatting>
  <conditionalFormatting sqref="A59:C59">
    <cfRule type="expression" dxfId="759" priority="7096">
      <formula>$B$58&lt;&gt;"Proceed below"</formula>
    </cfRule>
  </conditionalFormatting>
  <conditionalFormatting sqref="A69:C69">
    <cfRule type="expression" dxfId="758" priority="7095">
      <formula>$B$58&lt;&gt;"Proceed below"</formula>
    </cfRule>
  </conditionalFormatting>
  <conditionalFormatting sqref="A82:C82">
    <cfRule type="expression" dxfId="757" priority="7094">
      <formula>$B$70&lt;&gt;"Proceed below"</formula>
    </cfRule>
  </conditionalFormatting>
  <conditionalFormatting sqref="A84:C84">
    <cfRule type="expression" dxfId="756" priority="7093">
      <formula>$B$83&lt;&gt;"Proceed below"</formula>
    </cfRule>
  </conditionalFormatting>
  <conditionalFormatting sqref="A94:C94">
    <cfRule type="expression" dxfId="755" priority="7092">
      <formula>$B$83&lt;&gt;"Proceed below"</formula>
    </cfRule>
  </conditionalFormatting>
  <conditionalFormatting sqref="A101:C101">
    <cfRule type="expression" dxfId="754" priority="7091">
      <formula>$B$95&lt;&gt;"Proceed below"</formula>
    </cfRule>
  </conditionalFormatting>
  <conditionalFormatting sqref="A106:C106">
    <cfRule type="expression" dxfId="753" priority="7090">
      <formula>$B$102&lt;&gt;"Proceed below"</formula>
    </cfRule>
  </conditionalFormatting>
  <conditionalFormatting sqref="A113:C113">
    <cfRule type="expression" dxfId="752" priority="7089">
      <formula>$B$107&lt;&gt;"Proceed below"</formula>
    </cfRule>
  </conditionalFormatting>
  <conditionalFormatting sqref="A123:C123">
    <cfRule type="expression" dxfId="751" priority="7088">
      <formula>$B$114&lt;&gt;"Proceed below"</formula>
    </cfRule>
  </conditionalFormatting>
  <conditionalFormatting sqref="A125:C125">
    <cfRule type="expression" dxfId="750" priority="7087">
      <formula>$B$124&lt;&gt;"Proceed below"</formula>
    </cfRule>
  </conditionalFormatting>
  <conditionalFormatting sqref="A131:C131">
    <cfRule type="expression" dxfId="749" priority="7086">
      <formula>$B$124&lt;&gt;"Proceed below"</formula>
    </cfRule>
  </conditionalFormatting>
  <conditionalFormatting sqref="A141:C141">
    <cfRule type="expression" dxfId="748" priority="7085">
      <formula>$B$132&lt;&gt;"Proceed below"</formula>
    </cfRule>
  </conditionalFormatting>
  <conditionalFormatting sqref="A151:C151">
    <cfRule type="expression" dxfId="747" priority="7084">
      <formula>$B$142&lt;&gt;"Proceed below"</formula>
    </cfRule>
  </conditionalFormatting>
  <conditionalFormatting sqref="A157:C157">
    <cfRule type="expression" dxfId="746" priority="7083">
      <formula>$B$152&lt;&gt;"Proceed below"</formula>
    </cfRule>
  </conditionalFormatting>
  <conditionalFormatting sqref="A163:C163">
    <cfRule type="expression" dxfId="745" priority="7080">
      <formula>OR($B158&lt;&gt;"Proceed below",$C161="")</formula>
    </cfRule>
  </conditionalFormatting>
  <conditionalFormatting sqref="C164 A164">
    <cfRule type="expression" dxfId="744" priority="7079">
      <formula>$B$164&lt;&gt;"Choose provider from the list"</formula>
    </cfRule>
  </conditionalFormatting>
  <conditionalFormatting sqref="B164">
    <cfRule type="expression" dxfId="743" priority="7078">
      <formula>$B$164&lt;&gt;"Choose provider from the list"</formula>
    </cfRule>
  </conditionalFormatting>
  <conditionalFormatting sqref="A165:C165">
    <cfRule type="expression" dxfId="742" priority="7077">
      <formula>$B$164&lt;&gt;"Choose provider from the list"</formula>
    </cfRule>
  </conditionalFormatting>
  <conditionalFormatting sqref="C166 A166">
    <cfRule type="expression" dxfId="741" priority="7076">
      <formula>$B166&lt;&gt;"Total value of expenditure"</formula>
    </cfRule>
  </conditionalFormatting>
  <conditionalFormatting sqref="B166">
    <cfRule type="expression" dxfId="740" priority="7075">
      <formula>$B166&lt;&gt;"Total value of expenditure"</formula>
    </cfRule>
  </conditionalFormatting>
  <conditionalFormatting sqref="A167:C167">
    <cfRule type="expression" dxfId="739" priority="7074">
      <formula>$B166&lt;&gt;"Total value of expenditure"</formula>
    </cfRule>
  </conditionalFormatting>
  <conditionalFormatting sqref="B168:C168">
    <cfRule type="expression" dxfId="738" priority="7073">
      <formula>$B168=""</formula>
    </cfRule>
  </conditionalFormatting>
  <conditionalFormatting sqref="C169 A169">
    <cfRule type="expression" dxfId="737" priority="7072">
      <formula>$B169&lt;&gt;"Choose provider from the list"</formula>
    </cfRule>
  </conditionalFormatting>
  <conditionalFormatting sqref="B169">
    <cfRule type="expression" dxfId="736" priority="7071">
      <formula>$B169&lt;&gt;"Choose provider from the list"</formula>
    </cfRule>
  </conditionalFormatting>
  <conditionalFormatting sqref="A170:C170">
    <cfRule type="expression" dxfId="735" priority="6414">
      <formula>$B169&lt;&gt;"Choose provider from the list"</formula>
    </cfRule>
  </conditionalFormatting>
  <conditionalFormatting sqref="B171">
    <cfRule type="expression" dxfId="734" priority="7053">
      <formula>$B171="Please revise entries or contact OLSC for assistance"</formula>
    </cfRule>
    <cfRule type="expression" dxfId="733" priority="7054">
      <formula>$B171="Entry Form complete - proceed to Summary sheet"</formula>
    </cfRule>
    <cfRule type="expression" dxfId="732" priority="7068">
      <formula>$B171&lt;&gt;"Total value of expenditure"</formula>
    </cfRule>
  </conditionalFormatting>
  <conditionalFormatting sqref="C171 A171">
    <cfRule type="expression" dxfId="731" priority="7067">
      <formula>$B171&lt;&gt;"Total value of expenditure"</formula>
    </cfRule>
  </conditionalFormatting>
  <conditionalFormatting sqref="A168">
    <cfRule type="expression" dxfId="730" priority="7066">
      <formula>$B168&lt;&gt;"Is another domestic provider required?"</formula>
    </cfRule>
  </conditionalFormatting>
  <conditionalFormatting sqref="B168">
    <cfRule type="expression" dxfId="729" priority="7056">
      <formula>$B168="Please confirm that the details entered into the Entry Form are correct"</formula>
    </cfRule>
  </conditionalFormatting>
  <conditionalFormatting sqref="C168">
    <cfRule type="expression" dxfId="728" priority="7055">
      <formula>$B168="Please confirm that the details entered into the Entry Form are correct"</formula>
    </cfRule>
  </conditionalFormatting>
  <conditionalFormatting sqref="B170:C170">
    <cfRule type="expression" dxfId="727" priority="7069">
      <formula>$B170&lt;&gt;"Type provider name manually"</formula>
    </cfRule>
  </conditionalFormatting>
  <conditionalFormatting sqref="A1:A171 A407">
    <cfRule type="expression" dxfId="726" priority="3950">
      <formula>$B$1="Legal Services Expenditure Report 2020-21"</formula>
    </cfRule>
  </conditionalFormatting>
  <conditionalFormatting sqref="A172:C172">
    <cfRule type="expression" dxfId="725" priority="659">
      <formula>$B171&lt;&gt;"Total value of expenditure"</formula>
    </cfRule>
  </conditionalFormatting>
  <conditionalFormatting sqref="B173:C173">
    <cfRule type="expression" dxfId="724" priority="658">
      <formula>$B173=""</formula>
    </cfRule>
  </conditionalFormatting>
  <conditionalFormatting sqref="C174 A174">
    <cfRule type="expression" dxfId="723" priority="657">
      <formula>$B174&lt;&gt;"Choose provider from the list"</formula>
    </cfRule>
  </conditionalFormatting>
  <conditionalFormatting sqref="B174">
    <cfRule type="expression" dxfId="722" priority="656">
      <formula>$B174&lt;&gt;"Choose provider from the list"</formula>
    </cfRule>
  </conditionalFormatting>
  <conditionalFormatting sqref="A175:C175">
    <cfRule type="expression" dxfId="721" priority="647">
      <formula>$B174&lt;&gt;"Choose provider from the list"</formula>
    </cfRule>
  </conditionalFormatting>
  <conditionalFormatting sqref="B176">
    <cfRule type="expression" dxfId="720" priority="648">
      <formula>$B176="Please revise entries or contact OLSC for assistance"</formula>
    </cfRule>
    <cfRule type="expression" dxfId="719" priority="649">
      <formula>$B176="Entry Form complete - proceed to Summary sheet"</formula>
    </cfRule>
    <cfRule type="expression" dxfId="718" priority="654">
      <formula>$B176&lt;&gt;"Total value of expenditure"</formula>
    </cfRule>
  </conditionalFormatting>
  <conditionalFormatting sqref="C176 A176">
    <cfRule type="expression" dxfId="717" priority="653">
      <formula>$B176&lt;&gt;"Total value of expenditure"</formula>
    </cfRule>
  </conditionalFormatting>
  <conditionalFormatting sqref="A173">
    <cfRule type="expression" dxfId="716" priority="652">
      <formula>$B173&lt;&gt;"Is another domestic provider required?"</formula>
    </cfRule>
  </conditionalFormatting>
  <conditionalFormatting sqref="B173">
    <cfRule type="expression" dxfId="715" priority="651">
      <formula>$B173="Please confirm that the details entered into the Entry Form are correct"</formula>
    </cfRule>
  </conditionalFormatting>
  <conditionalFormatting sqref="C173">
    <cfRule type="expression" dxfId="714" priority="650">
      <formula>$B173="Please confirm that the details entered into the Entry Form are correct"</formula>
    </cfRule>
  </conditionalFormatting>
  <conditionalFormatting sqref="B175:C175">
    <cfRule type="expression" dxfId="713" priority="655">
      <formula>$B175&lt;&gt;"Type provider name manually"</formula>
    </cfRule>
  </conditionalFormatting>
  <conditionalFormatting sqref="A172:A176">
    <cfRule type="expression" dxfId="712" priority="646">
      <formula>$B$1="Legal Services Expenditure Report 2020-21"</formula>
    </cfRule>
  </conditionalFormatting>
  <conditionalFormatting sqref="A177:C177">
    <cfRule type="expression" dxfId="711" priority="645">
      <formula>$B176&lt;&gt;"Total value of expenditure"</formula>
    </cfRule>
  </conditionalFormatting>
  <conditionalFormatting sqref="B178:C178">
    <cfRule type="expression" dxfId="710" priority="644">
      <formula>$B178=""</formula>
    </cfRule>
  </conditionalFormatting>
  <conditionalFormatting sqref="C179 A179">
    <cfRule type="expression" dxfId="709" priority="643">
      <formula>$B179&lt;&gt;"Choose provider from the list"</formula>
    </cfRule>
  </conditionalFormatting>
  <conditionalFormatting sqref="B179">
    <cfRule type="expression" dxfId="708" priority="642">
      <formula>$B179&lt;&gt;"Choose provider from the list"</formula>
    </cfRule>
  </conditionalFormatting>
  <conditionalFormatting sqref="A180:C180">
    <cfRule type="expression" dxfId="707" priority="633">
      <formula>$B179&lt;&gt;"Choose provider from the list"</formula>
    </cfRule>
  </conditionalFormatting>
  <conditionalFormatting sqref="B181">
    <cfRule type="expression" dxfId="706" priority="634">
      <formula>$B181="Please revise entries or contact OLSC for assistance"</formula>
    </cfRule>
    <cfRule type="expression" dxfId="705" priority="635">
      <formula>$B181="Entry Form complete - proceed to Summary sheet"</formula>
    </cfRule>
    <cfRule type="expression" dxfId="704" priority="640">
      <formula>$B181&lt;&gt;"Total value of expenditure"</formula>
    </cfRule>
  </conditionalFormatting>
  <conditionalFormatting sqref="C181 A181">
    <cfRule type="expression" dxfId="703" priority="639">
      <formula>$B181&lt;&gt;"Total value of expenditure"</formula>
    </cfRule>
  </conditionalFormatting>
  <conditionalFormatting sqref="A178">
    <cfRule type="expression" dxfId="702" priority="638">
      <formula>$B178&lt;&gt;"Is another domestic provider required?"</formula>
    </cfRule>
  </conditionalFormatting>
  <conditionalFormatting sqref="B178">
    <cfRule type="expression" dxfId="701" priority="637">
      <formula>$B178="Please confirm that the details entered into the Entry Form are correct"</formula>
    </cfRule>
  </conditionalFormatting>
  <conditionalFormatting sqref="C178">
    <cfRule type="expression" dxfId="700" priority="636">
      <formula>$B178="Please confirm that the details entered into the Entry Form are correct"</formula>
    </cfRule>
  </conditionalFormatting>
  <conditionalFormatting sqref="B180:C180">
    <cfRule type="expression" dxfId="699" priority="641">
      <formula>$B180&lt;&gt;"Type provider name manually"</formula>
    </cfRule>
  </conditionalFormatting>
  <conditionalFormatting sqref="A177:A181">
    <cfRule type="expression" dxfId="698" priority="632">
      <formula>$B$1="Legal Services Expenditure Report 2020-21"</formula>
    </cfRule>
  </conditionalFormatting>
  <conditionalFormatting sqref="A182:C182">
    <cfRule type="expression" dxfId="697" priority="631">
      <formula>$B181&lt;&gt;"Total value of expenditure"</formula>
    </cfRule>
  </conditionalFormatting>
  <conditionalFormatting sqref="B183:C183">
    <cfRule type="expression" dxfId="696" priority="630">
      <formula>$B183=""</formula>
    </cfRule>
  </conditionalFormatting>
  <conditionalFormatting sqref="C184 A184">
    <cfRule type="expression" dxfId="695" priority="629">
      <formula>$B184&lt;&gt;"Choose provider from the list"</formula>
    </cfRule>
  </conditionalFormatting>
  <conditionalFormatting sqref="B184">
    <cfRule type="expression" dxfId="694" priority="628">
      <formula>$B184&lt;&gt;"Choose provider from the list"</formula>
    </cfRule>
  </conditionalFormatting>
  <conditionalFormatting sqref="A185:C185">
    <cfRule type="expression" dxfId="693" priority="619">
      <formula>$B184&lt;&gt;"Choose provider from the list"</formula>
    </cfRule>
  </conditionalFormatting>
  <conditionalFormatting sqref="B186">
    <cfRule type="expression" dxfId="692" priority="620">
      <formula>$B186="Please revise entries or contact OLSC for assistance"</formula>
    </cfRule>
    <cfRule type="expression" dxfId="691" priority="621">
      <formula>$B186="Entry Form complete - proceed to Summary sheet"</formula>
    </cfRule>
    <cfRule type="expression" dxfId="690" priority="626">
      <formula>$B186&lt;&gt;"Total value of expenditure"</formula>
    </cfRule>
  </conditionalFormatting>
  <conditionalFormatting sqref="C186 A186">
    <cfRule type="expression" dxfId="689" priority="625">
      <formula>$B186&lt;&gt;"Total value of expenditure"</formula>
    </cfRule>
  </conditionalFormatting>
  <conditionalFormatting sqref="A183">
    <cfRule type="expression" dxfId="688" priority="624">
      <formula>$B183&lt;&gt;"Is another domestic provider required?"</formula>
    </cfRule>
  </conditionalFormatting>
  <conditionalFormatting sqref="B183">
    <cfRule type="expression" dxfId="687" priority="623">
      <formula>$B183="Please confirm that the details entered into the Entry Form are correct"</formula>
    </cfRule>
  </conditionalFormatting>
  <conditionalFormatting sqref="C183">
    <cfRule type="expression" dxfId="686" priority="622">
      <formula>$B183="Please confirm that the details entered into the Entry Form are correct"</formula>
    </cfRule>
  </conditionalFormatting>
  <conditionalFormatting sqref="B185:C185">
    <cfRule type="expression" dxfId="685" priority="627">
      <formula>$B185&lt;&gt;"Type provider name manually"</formula>
    </cfRule>
  </conditionalFormatting>
  <conditionalFormatting sqref="A182:A186">
    <cfRule type="expression" dxfId="684" priority="618">
      <formula>$B$1="Legal Services Expenditure Report 2020-21"</formula>
    </cfRule>
  </conditionalFormatting>
  <conditionalFormatting sqref="A187:C187">
    <cfRule type="expression" dxfId="683" priority="617">
      <formula>$B186&lt;&gt;"Total value of expenditure"</formula>
    </cfRule>
  </conditionalFormatting>
  <conditionalFormatting sqref="B188:C188">
    <cfRule type="expression" dxfId="682" priority="616">
      <formula>$B188=""</formula>
    </cfRule>
  </conditionalFormatting>
  <conditionalFormatting sqref="C189 A189">
    <cfRule type="expression" dxfId="681" priority="615">
      <formula>$B189&lt;&gt;"Choose provider from the list"</formula>
    </cfRule>
  </conditionalFormatting>
  <conditionalFormatting sqref="B189">
    <cfRule type="expression" dxfId="680" priority="614">
      <formula>$B189&lt;&gt;"Choose provider from the list"</formula>
    </cfRule>
  </conditionalFormatting>
  <conditionalFormatting sqref="A190:C190">
    <cfRule type="expression" dxfId="679" priority="605">
      <formula>$B189&lt;&gt;"Choose provider from the list"</formula>
    </cfRule>
  </conditionalFormatting>
  <conditionalFormatting sqref="B191">
    <cfRule type="expression" dxfId="678" priority="606">
      <formula>$B191="Please revise entries or contact OLSC for assistance"</formula>
    </cfRule>
    <cfRule type="expression" dxfId="677" priority="607">
      <formula>$B191="Entry Form complete - proceed to Summary sheet"</formula>
    </cfRule>
    <cfRule type="expression" dxfId="676" priority="612">
      <formula>$B191&lt;&gt;"Total value of expenditure"</formula>
    </cfRule>
  </conditionalFormatting>
  <conditionalFormatting sqref="C191 A191">
    <cfRule type="expression" dxfId="675" priority="611">
      <formula>$B191&lt;&gt;"Total value of expenditure"</formula>
    </cfRule>
  </conditionalFormatting>
  <conditionalFormatting sqref="A188">
    <cfRule type="expression" dxfId="674" priority="610">
      <formula>$B188&lt;&gt;"Is another domestic provider required?"</formula>
    </cfRule>
  </conditionalFormatting>
  <conditionalFormatting sqref="B188">
    <cfRule type="expression" dxfId="673" priority="609">
      <formula>$B188="Please confirm that the details entered into the Entry Form are correct"</formula>
    </cfRule>
  </conditionalFormatting>
  <conditionalFormatting sqref="C188">
    <cfRule type="expression" dxfId="672" priority="608">
      <formula>$B188="Please confirm that the details entered into the Entry Form are correct"</formula>
    </cfRule>
  </conditionalFormatting>
  <conditionalFormatting sqref="B190:C190">
    <cfRule type="expression" dxfId="671" priority="613">
      <formula>$B190&lt;&gt;"Type provider name manually"</formula>
    </cfRule>
  </conditionalFormatting>
  <conditionalFormatting sqref="A187:A191">
    <cfRule type="expression" dxfId="670" priority="604">
      <formula>$B$1="Legal Services Expenditure Report 2020-21"</formula>
    </cfRule>
  </conditionalFormatting>
  <conditionalFormatting sqref="A192:C192">
    <cfRule type="expression" dxfId="669" priority="603">
      <formula>$B191&lt;&gt;"Total value of expenditure"</formula>
    </cfRule>
  </conditionalFormatting>
  <conditionalFormatting sqref="B193:C193">
    <cfRule type="expression" dxfId="668" priority="602">
      <formula>$B193=""</formula>
    </cfRule>
  </conditionalFormatting>
  <conditionalFormatting sqref="C194 A194">
    <cfRule type="expression" dxfId="667" priority="601">
      <formula>$B194&lt;&gt;"Choose provider from the list"</formula>
    </cfRule>
  </conditionalFormatting>
  <conditionalFormatting sqref="B194">
    <cfRule type="expression" dxfId="666" priority="600">
      <formula>$B194&lt;&gt;"Choose provider from the list"</formula>
    </cfRule>
  </conditionalFormatting>
  <conditionalFormatting sqref="A195:C195">
    <cfRule type="expression" dxfId="665" priority="591">
      <formula>$B194&lt;&gt;"Choose provider from the list"</formula>
    </cfRule>
  </conditionalFormatting>
  <conditionalFormatting sqref="B196">
    <cfRule type="expression" dxfId="664" priority="592">
      <formula>$B196="Please revise entries or contact OLSC for assistance"</formula>
    </cfRule>
    <cfRule type="expression" dxfId="663" priority="593">
      <formula>$B196="Entry Form complete - proceed to Summary sheet"</formula>
    </cfRule>
    <cfRule type="expression" dxfId="662" priority="598">
      <formula>$B196&lt;&gt;"Total value of expenditure"</formula>
    </cfRule>
  </conditionalFormatting>
  <conditionalFormatting sqref="C196 A196">
    <cfRule type="expression" dxfId="661" priority="597">
      <formula>$B196&lt;&gt;"Total value of expenditure"</formula>
    </cfRule>
  </conditionalFormatting>
  <conditionalFormatting sqref="A193">
    <cfRule type="expression" dxfId="660" priority="596">
      <formula>$B193&lt;&gt;"Is another domestic provider required?"</formula>
    </cfRule>
  </conditionalFormatting>
  <conditionalFormatting sqref="B193">
    <cfRule type="expression" dxfId="659" priority="595">
      <formula>$B193="Please confirm that the details entered into the Entry Form are correct"</formula>
    </cfRule>
  </conditionalFormatting>
  <conditionalFormatting sqref="C193">
    <cfRule type="expression" dxfId="658" priority="594">
      <formula>$B193="Please confirm that the details entered into the Entry Form are correct"</formula>
    </cfRule>
  </conditionalFormatting>
  <conditionalFormatting sqref="B195:C195">
    <cfRule type="expression" dxfId="657" priority="599">
      <formula>$B195&lt;&gt;"Type provider name manually"</formula>
    </cfRule>
  </conditionalFormatting>
  <conditionalFormatting sqref="A192:A196">
    <cfRule type="expression" dxfId="656" priority="590">
      <formula>$B$1="Legal Services Expenditure Report 2020-21"</formula>
    </cfRule>
  </conditionalFormatting>
  <conditionalFormatting sqref="A197:C197">
    <cfRule type="expression" dxfId="655" priority="589">
      <formula>$B196&lt;&gt;"Total value of expenditure"</formula>
    </cfRule>
  </conditionalFormatting>
  <conditionalFormatting sqref="B198:C198">
    <cfRule type="expression" dxfId="654" priority="588">
      <formula>$B198=""</formula>
    </cfRule>
  </conditionalFormatting>
  <conditionalFormatting sqref="C199 A199">
    <cfRule type="expression" dxfId="653" priority="587">
      <formula>$B199&lt;&gt;"Choose provider from the list"</formula>
    </cfRule>
  </conditionalFormatting>
  <conditionalFormatting sqref="B199">
    <cfRule type="expression" dxfId="652" priority="586">
      <formula>$B199&lt;&gt;"Choose provider from the list"</formula>
    </cfRule>
  </conditionalFormatting>
  <conditionalFormatting sqref="A200:C200">
    <cfRule type="expression" dxfId="651" priority="577">
      <formula>$B199&lt;&gt;"Choose provider from the list"</formula>
    </cfRule>
  </conditionalFormatting>
  <conditionalFormatting sqref="B201">
    <cfRule type="expression" dxfId="650" priority="578">
      <formula>$B201="Please revise entries or contact OLSC for assistance"</formula>
    </cfRule>
    <cfRule type="expression" dxfId="649" priority="579">
      <formula>$B201="Entry Form complete - proceed to Summary sheet"</formula>
    </cfRule>
    <cfRule type="expression" dxfId="648" priority="584">
      <formula>$B201&lt;&gt;"Total value of expenditure"</formula>
    </cfRule>
  </conditionalFormatting>
  <conditionalFormatting sqref="C201 A201">
    <cfRule type="expression" dxfId="647" priority="583">
      <formula>$B201&lt;&gt;"Total value of expenditure"</formula>
    </cfRule>
  </conditionalFormatting>
  <conditionalFormatting sqref="A198">
    <cfRule type="expression" dxfId="646" priority="582">
      <formula>$B198&lt;&gt;"Is another domestic provider required?"</formula>
    </cfRule>
  </conditionalFormatting>
  <conditionalFormatting sqref="B198">
    <cfRule type="expression" dxfId="645" priority="581">
      <formula>$B198="Please confirm that the details entered into the Entry Form are correct"</formula>
    </cfRule>
  </conditionalFormatting>
  <conditionalFormatting sqref="C198">
    <cfRule type="expression" dxfId="644" priority="580">
      <formula>$B198="Please confirm that the details entered into the Entry Form are correct"</formula>
    </cfRule>
  </conditionalFormatting>
  <conditionalFormatting sqref="B200:C200">
    <cfRule type="expression" dxfId="643" priority="585">
      <formula>$B200&lt;&gt;"Type provider name manually"</formula>
    </cfRule>
  </conditionalFormatting>
  <conditionalFormatting sqref="A197:A201">
    <cfRule type="expression" dxfId="642" priority="576">
      <formula>$B$1="Legal Services Expenditure Report 2020-21"</formula>
    </cfRule>
  </conditionalFormatting>
  <conditionalFormatting sqref="A202:C202">
    <cfRule type="expression" dxfId="641" priority="575">
      <formula>$B201&lt;&gt;"Total value of expenditure"</formula>
    </cfRule>
  </conditionalFormatting>
  <conditionalFormatting sqref="B203:C203">
    <cfRule type="expression" dxfId="640" priority="574">
      <formula>$B203=""</formula>
    </cfRule>
  </conditionalFormatting>
  <conditionalFormatting sqref="C204 A204">
    <cfRule type="expression" dxfId="639" priority="573">
      <formula>$B204&lt;&gt;"Choose provider from the list"</formula>
    </cfRule>
  </conditionalFormatting>
  <conditionalFormatting sqref="B204">
    <cfRule type="expression" dxfId="638" priority="572">
      <formula>$B204&lt;&gt;"Choose provider from the list"</formula>
    </cfRule>
  </conditionalFormatting>
  <conditionalFormatting sqref="A205:C205">
    <cfRule type="expression" dxfId="637" priority="563">
      <formula>$B204&lt;&gt;"Choose provider from the list"</formula>
    </cfRule>
  </conditionalFormatting>
  <conditionalFormatting sqref="B206">
    <cfRule type="expression" dxfId="636" priority="564">
      <formula>$B206="Please revise entries or contact OLSC for assistance"</formula>
    </cfRule>
    <cfRule type="expression" dxfId="635" priority="565">
      <formula>$B206="Entry Form complete - proceed to Summary sheet"</formula>
    </cfRule>
    <cfRule type="expression" dxfId="634" priority="570">
      <formula>$B206&lt;&gt;"Total value of expenditure"</formula>
    </cfRule>
  </conditionalFormatting>
  <conditionalFormatting sqref="C206 A206">
    <cfRule type="expression" dxfId="633" priority="569">
      <formula>$B206&lt;&gt;"Total value of expenditure"</formula>
    </cfRule>
  </conditionalFormatting>
  <conditionalFormatting sqref="A203">
    <cfRule type="expression" dxfId="632" priority="568">
      <formula>$B203&lt;&gt;"Is another domestic provider required?"</formula>
    </cfRule>
  </conditionalFormatting>
  <conditionalFormatting sqref="B203">
    <cfRule type="expression" dxfId="631" priority="567">
      <formula>$B203="Please confirm that the details entered into the Entry Form are correct"</formula>
    </cfRule>
  </conditionalFormatting>
  <conditionalFormatting sqref="C203">
    <cfRule type="expression" dxfId="630" priority="566">
      <formula>$B203="Please confirm that the details entered into the Entry Form are correct"</formula>
    </cfRule>
  </conditionalFormatting>
  <conditionalFormatting sqref="B205:C205">
    <cfRule type="expression" dxfId="629" priority="571">
      <formula>$B205&lt;&gt;"Type provider name manually"</formula>
    </cfRule>
  </conditionalFormatting>
  <conditionalFormatting sqref="A202:A206">
    <cfRule type="expression" dxfId="628" priority="562">
      <formula>$B$1="Legal Services Expenditure Report 2020-21"</formula>
    </cfRule>
  </conditionalFormatting>
  <conditionalFormatting sqref="A207:C207">
    <cfRule type="expression" dxfId="627" priority="561">
      <formula>$B206&lt;&gt;"Total value of expenditure"</formula>
    </cfRule>
  </conditionalFormatting>
  <conditionalFormatting sqref="B208:C208">
    <cfRule type="expression" dxfId="626" priority="560">
      <formula>$B208=""</formula>
    </cfRule>
  </conditionalFormatting>
  <conditionalFormatting sqref="C209 A209">
    <cfRule type="expression" dxfId="625" priority="559">
      <formula>$B209&lt;&gt;"Choose provider from the list"</formula>
    </cfRule>
  </conditionalFormatting>
  <conditionalFormatting sqref="B209">
    <cfRule type="expression" dxfId="624" priority="558">
      <formula>$B209&lt;&gt;"Choose provider from the list"</formula>
    </cfRule>
  </conditionalFormatting>
  <conditionalFormatting sqref="A210:C210">
    <cfRule type="expression" dxfId="623" priority="549">
      <formula>$B209&lt;&gt;"Choose provider from the list"</formula>
    </cfRule>
  </conditionalFormatting>
  <conditionalFormatting sqref="B211">
    <cfRule type="expression" dxfId="622" priority="550">
      <formula>$B211="Please revise entries or contact OLSC for assistance"</formula>
    </cfRule>
    <cfRule type="expression" dxfId="621" priority="551">
      <formula>$B211="Entry Form complete - proceed to Summary sheet"</formula>
    </cfRule>
    <cfRule type="expression" dxfId="620" priority="556">
      <formula>$B211&lt;&gt;"Total value of expenditure"</formula>
    </cfRule>
  </conditionalFormatting>
  <conditionalFormatting sqref="C211 A211">
    <cfRule type="expression" dxfId="619" priority="555">
      <formula>$B211&lt;&gt;"Total value of expenditure"</formula>
    </cfRule>
  </conditionalFormatting>
  <conditionalFormatting sqref="A208">
    <cfRule type="expression" dxfId="618" priority="554">
      <formula>$B208&lt;&gt;"Is another domestic provider required?"</formula>
    </cfRule>
  </conditionalFormatting>
  <conditionalFormatting sqref="B208">
    <cfRule type="expression" dxfId="617" priority="553">
      <formula>$B208="Please confirm that the details entered into the Entry Form are correct"</formula>
    </cfRule>
  </conditionalFormatting>
  <conditionalFormatting sqref="C208">
    <cfRule type="expression" dxfId="616" priority="552">
      <formula>$B208="Please confirm that the details entered into the Entry Form are correct"</formula>
    </cfRule>
  </conditionalFormatting>
  <conditionalFormatting sqref="B210:C210">
    <cfRule type="expression" dxfId="615" priority="557">
      <formula>$B210&lt;&gt;"Type provider name manually"</formula>
    </cfRule>
  </conditionalFormatting>
  <conditionalFormatting sqref="A207:A211">
    <cfRule type="expression" dxfId="614" priority="548">
      <formula>$B$1="Legal Services Expenditure Report 2020-21"</formula>
    </cfRule>
  </conditionalFormatting>
  <conditionalFormatting sqref="A212:C212">
    <cfRule type="expression" dxfId="613" priority="547">
      <formula>$B211&lt;&gt;"Total value of expenditure"</formula>
    </cfRule>
  </conditionalFormatting>
  <conditionalFormatting sqref="B213:C213">
    <cfRule type="expression" dxfId="612" priority="546">
      <formula>$B213=""</formula>
    </cfRule>
  </conditionalFormatting>
  <conditionalFormatting sqref="C214 A214">
    <cfRule type="expression" dxfId="611" priority="545">
      <formula>$B214&lt;&gt;"Choose provider from the list"</formula>
    </cfRule>
  </conditionalFormatting>
  <conditionalFormatting sqref="B214">
    <cfRule type="expression" dxfId="610" priority="544">
      <formula>$B214&lt;&gt;"Choose provider from the list"</formula>
    </cfRule>
  </conditionalFormatting>
  <conditionalFormatting sqref="A215:C215">
    <cfRule type="expression" dxfId="609" priority="535">
      <formula>$B214&lt;&gt;"Choose provider from the list"</formula>
    </cfRule>
  </conditionalFormatting>
  <conditionalFormatting sqref="B216">
    <cfRule type="expression" dxfId="608" priority="536">
      <formula>$B216="Please revise entries or contact OLSC for assistance"</formula>
    </cfRule>
    <cfRule type="expression" dxfId="607" priority="537">
      <formula>$B216="Entry Form complete - proceed to Summary sheet"</formula>
    </cfRule>
    <cfRule type="expression" dxfId="606" priority="542">
      <formula>$B216&lt;&gt;"Total value of expenditure"</formula>
    </cfRule>
  </conditionalFormatting>
  <conditionalFormatting sqref="C216 A216">
    <cfRule type="expression" dxfId="605" priority="541">
      <formula>$B216&lt;&gt;"Total value of expenditure"</formula>
    </cfRule>
  </conditionalFormatting>
  <conditionalFormatting sqref="A213">
    <cfRule type="expression" dxfId="604" priority="540">
      <formula>$B213&lt;&gt;"Is another domestic provider required?"</formula>
    </cfRule>
  </conditionalFormatting>
  <conditionalFormatting sqref="B213">
    <cfRule type="expression" dxfId="603" priority="539">
      <formula>$B213="Please confirm that the details entered into the Entry Form are correct"</formula>
    </cfRule>
  </conditionalFormatting>
  <conditionalFormatting sqref="C213">
    <cfRule type="expression" dxfId="602" priority="538">
      <formula>$B213="Please confirm that the details entered into the Entry Form are correct"</formula>
    </cfRule>
  </conditionalFormatting>
  <conditionalFormatting sqref="B215:C215">
    <cfRule type="expression" dxfId="601" priority="543">
      <formula>$B215&lt;&gt;"Type provider name manually"</formula>
    </cfRule>
  </conditionalFormatting>
  <conditionalFormatting sqref="A212:A216">
    <cfRule type="expression" dxfId="600" priority="534">
      <formula>$B$1="Legal Services Expenditure Report 2020-21"</formula>
    </cfRule>
  </conditionalFormatting>
  <conditionalFormatting sqref="A217:C217">
    <cfRule type="expression" dxfId="599" priority="533">
      <formula>$B216&lt;&gt;"Total value of expenditure"</formula>
    </cfRule>
  </conditionalFormatting>
  <conditionalFormatting sqref="B218:C218">
    <cfRule type="expression" dxfId="598" priority="532">
      <formula>$B218=""</formula>
    </cfRule>
  </conditionalFormatting>
  <conditionalFormatting sqref="C219 A219">
    <cfRule type="expression" dxfId="597" priority="531">
      <formula>$B219&lt;&gt;"Choose provider from the list"</formula>
    </cfRule>
  </conditionalFormatting>
  <conditionalFormatting sqref="B219">
    <cfRule type="expression" dxfId="596" priority="530">
      <formula>$B219&lt;&gt;"Choose provider from the list"</formula>
    </cfRule>
  </conditionalFormatting>
  <conditionalFormatting sqref="A220:C220">
    <cfRule type="expression" dxfId="595" priority="521">
      <formula>$B219&lt;&gt;"Choose provider from the list"</formula>
    </cfRule>
  </conditionalFormatting>
  <conditionalFormatting sqref="B221">
    <cfRule type="expression" dxfId="594" priority="522">
      <formula>$B221="Please revise entries or contact OLSC for assistance"</formula>
    </cfRule>
    <cfRule type="expression" dxfId="593" priority="523">
      <formula>$B221="Entry Form complete - proceed to Summary sheet"</formula>
    </cfRule>
    <cfRule type="expression" dxfId="592" priority="528">
      <formula>$B221&lt;&gt;"Total value of expenditure"</formula>
    </cfRule>
  </conditionalFormatting>
  <conditionalFormatting sqref="C221 A221">
    <cfRule type="expression" dxfId="591" priority="527">
      <formula>$B221&lt;&gt;"Total value of expenditure"</formula>
    </cfRule>
  </conditionalFormatting>
  <conditionalFormatting sqref="A218">
    <cfRule type="expression" dxfId="590" priority="526">
      <formula>$B218&lt;&gt;"Is another domestic provider required?"</formula>
    </cfRule>
  </conditionalFormatting>
  <conditionalFormatting sqref="B218">
    <cfRule type="expression" dxfId="589" priority="525">
      <formula>$B218="Please confirm that the details entered into the Entry Form are correct"</formula>
    </cfRule>
  </conditionalFormatting>
  <conditionalFormatting sqref="C218">
    <cfRule type="expression" dxfId="588" priority="524">
      <formula>$B218="Please confirm that the details entered into the Entry Form are correct"</formula>
    </cfRule>
  </conditionalFormatting>
  <conditionalFormatting sqref="B220:C220">
    <cfRule type="expression" dxfId="587" priority="529">
      <formula>$B220&lt;&gt;"Type provider name manually"</formula>
    </cfRule>
  </conditionalFormatting>
  <conditionalFormatting sqref="A217:A221">
    <cfRule type="expression" dxfId="586" priority="520">
      <formula>$B$1="Legal Services Expenditure Report 2020-21"</formula>
    </cfRule>
  </conditionalFormatting>
  <conditionalFormatting sqref="A222:C222">
    <cfRule type="expression" dxfId="585" priority="519">
      <formula>$B221&lt;&gt;"Total value of expenditure"</formula>
    </cfRule>
  </conditionalFormatting>
  <conditionalFormatting sqref="B223:C223">
    <cfRule type="expression" dxfId="584" priority="518">
      <formula>$B223=""</formula>
    </cfRule>
  </conditionalFormatting>
  <conditionalFormatting sqref="C224 A224">
    <cfRule type="expression" dxfId="583" priority="517">
      <formula>$B224&lt;&gt;"Choose provider from the list"</formula>
    </cfRule>
  </conditionalFormatting>
  <conditionalFormatting sqref="B224">
    <cfRule type="expression" dxfId="582" priority="516">
      <formula>$B224&lt;&gt;"Choose provider from the list"</formula>
    </cfRule>
  </conditionalFormatting>
  <conditionalFormatting sqref="A225:C225">
    <cfRule type="expression" dxfId="581" priority="507">
      <formula>$B224&lt;&gt;"Choose provider from the list"</formula>
    </cfRule>
  </conditionalFormatting>
  <conditionalFormatting sqref="B226">
    <cfRule type="expression" dxfId="580" priority="508">
      <formula>$B226="Please revise entries or contact OLSC for assistance"</formula>
    </cfRule>
    <cfRule type="expression" dxfId="579" priority="509">
      <formula>$B226="Entry Form complete - proceed to Summary sheet"</formula>
    </cfRule>
    <cfRule type="expression" dxfId="578" priority="514">
      <formula>$B226&lt;&gt;"Total value of expenditure"</formula>
    </cfRule>
  </conditionalFormatting>
  <conditionalFormatting sqref="C226 A226">
    <cfRule type="expression" dxfId="577" priority="513">
      <formula>$B226&lt;&gt;"Total value of expenditure"</formula>
    </cfRule>
  </conditionalFormatting>
  <conditionalFormatting sqref="A223">
    <cfRule type="expression" dxfId="576" priority="512">
      <formula>$B223&lt;&gt;"Is another domestic provider required?"</formula>
    </cfRule>
  </conditionalFormatting>
  <conditionalFormatting sqref="B223">
    <cfRule type="expression" dxfId="575" priority="511">
      <formula>$B223="Please confirm that the details entered into the Entry Form are correct"</formula>
    </cfRule>
  </conditionalFormatting>
  <conditionalFormatting sqref="C223">
    <cfRule type="expression" dxfId="574" priority="510">
      <formula>$B223="Please confirm that the details entered into the Entry Form are correct"</formula>
    </cfRule>
  </conditionalFormatting>
  <conditionalFormatting sqref="B225:C225">
    <cfRule type="expression" dxfId="573" priority="515">
      <formula>$B225&lt;&gt;"Type provider name manually"</formula>
    </cfRule>
  </conditionalFormatting>
  <conditionalFormatting sqref="A222:A226">
    <cfRule type="expression" dxfId="572" priority="506">
      <formula>$B$1="Legal Services Expenditure Report 2020-21"</formula>
    </cfRule>
  </conditionalFormatting>
  <conditionalFormatting sqref="A227:C227">
    <cfRule type="expression" dxfId="571" priority="505">
      <formula>$B226&lt;&gt;"Total value of expenditure"</formula>
    </cfRule>
  </conditionalFormatting>
  <conditionalFormatting sqref="B228:C228">
    <cfRule type="expression" dxfId="570" priority="504">
      <formula>$B228=""</formula>
    </cfRule>
  </conditionalFormatting>
  <conditionalFormatting sqref="C229 A229">
    <cfRule type="expression" dxfId="569" priority="503">
      <formula>$B229&lt;&gt;"Choose provider from the list"</formula>
    </cfRule>
  </conditionalFormatting>
  <conditionalFormatting sqref="B229">
    <cfRule type="expression" dxfId="568" priority="502">
      <formula>$B229&lt;&gt;"Choose provider from the list"</formula>
    </cfRule>
  </conditionalFormatting>
  <conditionalFormatting sqref="A230:C230">
    <cfRule type="expression" dxfId="567" priority="493">
      <formula>$B229&lt;&gt;"Choose provider from the list"</formula>
    </cfRule>
  </conditionalFormatting>
  <conditionalFormatting sqref="B231">
    <cfRule type="expression" dxfId="566" priority="494">
      <formula>$B231="Please revise entries or contact OLSC for assistance"</formula>
    </cfRule>
    <cfRule type="expression" dxfId="565" priority="495">
      <formula>$B231="Entry Form complete - proceed to Summary sheet"</formula>
    </cfRule>
    <cfRule type="expression" dxfId="564" priority="500">
      <formula>$B231&lt;&gt;"Total value of expenditure"</formula>
    </cfRule>
  </conditionalFormatting>
  <conditionalFormatting sqref="C231 A231">
    <cfRule type="expression" dxfId="563" priority="499">
      <formula>$B231&lt;&gt;"Total value of expenditure"</formula>
    </cfRule>
  </conditionalFormatting>
  <conditionalFormatting sqref="A228">
    <cfRule type="expression" dxfId="562" priority="498">
      <formula>$B228&lt;&gt;"Is another domestic provider required?"</formula>
    </cfRule>
  </conditionalFormatting>
  <conditionalFormatting sqref="B228">
    <cfRule type="expression" dxfId="561" priority="497">
      <formula>$B228="Please confirm that the details entered into the Entry Form are correct"</formula>
    </cfRule>
  </conditionalFormatting>
  <conditionalFormatting sqref="C228">
    <cfRule type="expression" dxfId="560" priority="496">
      <formula>$B228="Please confirm that the details entered into the Entry Form are correct"</formula>
    </cfRule>
  </conditionalFormatting>
  <conditionalFormatting sqref="B230:C230">
    <cfRule type="expression" dxfId="559" priority="501">
      <formula>$B230&lt;&gt;"Type provider name manually"</formula>
    </cfRule>
  </conditionalFormatting>
  <conditionalFormatting sqref="A227:A231">
    <cfRule type="expression" dxfId="558" priority="492">
      <formula>$B$1="Legal Services Expenditure Report 2020-21"</formula>
    </cfRule>
  </conditionalFormatting>
  <conditionalFormatting sqref="A232:C232">
    <cfRule type="expression" dxfId="557" priority="491">
      <formula>$B231&lt;&gt;"Total value of expenditure"</formula>
    </cfRule>
  </conditionalFormatting>
  <conditionalFormatting sqref="B233:C233">
    <cfRule type="expression" dxfId="556" priority="490">
      <formula>$B233=""</formula>
    </cfRule>
  </conditionalFormatting>
  <conditionalFormatting sqref="C234 A234">
    <cfRule type="expression" dxfId="555" priority="489">
      <formula>$B234&lt;&gt;"Choose provider from the list"</formula>
    </cfRule>
  </conditionalFormatting>
  <conditionalFormatting sqref="B234">
    <cfRule type="expression" dxfId="554" priority="488">
      <formula>$B234&lt;&gt;"Choose provider from the list"</formula>
    </cfRule>
  </conditionalFormatting>
  <conditionalFormatting sqref="A235:C235">
    <cfRule type="expression" dxfId="553" priority="479">
      <formula>$B234&lt;&gt;"Choose provider from the list"</formula>
    </cfRule>
  </conditionalFormatting>
  <conditionalFormatting sqref="B236">
    <cfRule type="expression" dxfId="552" priority="480">
      <formula>$B236="Please revise entries or contact OLSC for assistance"</formula>
    </cfRule>
    <cfRule type="expression" dxfId="551" priority="481">
      <formula>$B236="Entry Form complete - proceed to Summary sheet"</formula>
    </cfRule>
    <cfRule type="expression" dxfId="550" priority="486">
      <formula>$B236&lt;&gt;"Total value of expenditure"</formula>
    </cfRule>
  </conditionalFormatting>
  <conditionalFormatting sqref="C236 A236">
    <cfRule type="expression" dxfId="549" priority="485">
      <formula>$B236&lt;&gt;"Total value of expenditure"</formula>
    </cfRule>
  </conditionalFormatting>
  <conditionalFormatting sqref="A233">
    <cfRule type="expression" dxfId="548" priority="484">
      <formula>$B233&lt;&gt;"Is another domestic provider required?"</formula>
    </cfRule>
  </conditionalFormatting>
  <conditionalFormatting sqref="B233">
    <cfRule type="expression" dxfId="547" priority="483">
      <formula>$B233="Please confirm that the details entered into the Entry Form are correct"</formula>
    </cfRule>
  </conditionalFormatting>
  <conditionalFormatting sqref="C233">
    <cfRule type="expression" dxfId="546" priority="482">
      <formula>$B233="Please confirm that the details entered into the Entry Form are correct"</formula>
    </cfRule>
  </conditionalFormatting>
  <conditionalFormatting sqref="B235:C235">
    <cfRule type="expression" dxfId="545" priority="487">
      <formula>$B235&lt;&gt;"Type provider name manually"</formula>
    </cfRule>
  </conditionalFormatting>
  <conditionalFormatting sqref="A232:A236">
    <cfRule type="expression" dxfId="544" priority="478">
      <formula>$B$1="Legal Services Expenditure Report 2020-21"</formula>
    </cfRule>
  </conditionalFormatting>
  <conditionalFormatting sqref="A237:C237">
    <cfRule type="expression" dxfId="543" priority="477">
      <formula>$B236&lt;&gt;"Total value of expenditure"</formula>
    </cfRule>
  </conditionalFormatting>
  <conditionalFormatting sqref="B238:C238">
    <cfRule type="expression" dxfId="542" priority="476">
      <formula>$B238=""</formula>
    </cfRule>
  </conditionalFormatting>
  <conditionalFormatting sqref="C239 A239">
    <cfRule type="expression" dxfId="541" priority="475">
      <formula>$B239&lt;&gt;"Choose provider from the list"</formula>
    </cfRule>
  </conditionalFormatting>
  <conditionalFormatting sqref="B239">
    <cfRule type="expression" dxfId="540" priority="474">
      <formula>$B239&lt;&gt;"Choose provider from the list"</formula>
    </cfRule>
  </conditionalFormatting>
  <conditionalFormatting sqref="A240:C240">
    <cfRule type="expression" dxfId="539" priority="465">
      <formula>$B239&lt;&gt;"Choose provider from the list"</formula>
    </cfRule>
  </conditionalFormatting>
  <conditionalFormatting sqref="B241">
    <cfRule type="expression" dxfId="538" priority="466">
      <formula>$B241="Please revise entries or contact OLSC for assistance"</formula>
    </cfRule>
    <cfRule type="expression" dxfId="537" priority="467">
      <formula>$B241="Entry Form complete - proceed to Summary sheet"</formula>
    </cfRule>
    <cfRule type="expression" dxfId="536" priority="472">
      <formula>$B241&lt;&gt;"Total value of expenditure"</formula>
    </cfRule>
  </conditionalFormatting>
  <conditionalFormatting sqref="C241 A241">
    <cfRule type="expression" dxfId="535" priority="471">
      <formula>$B241&lt;&gt;"Total value of expenditure"</formula>
    </cfRule>
  </conditionalFormatting>
  <conditionalFormatting sqref="A238">
    <cfRule type="expression" dxfId="534" priority="470">
      <formula>$B238&lt;&gt;"Is another domestic provider required?"</formula>
    </cfRule>
  </conditionalFormatting>
  <conditionalFormatting sqref="B238">
    <cfRule type="expression" dxfId="533" priority="469">
      <formula>$B238="Please confirm that the details entered into the Entry Form are correct"</formula>
    </cfRule>
  </conditionalFormatting>
  <conditionalFormatting sqref="C238">
    <cfRule type="expression" dxfId="532" priority="468">
      <formula>$B238="Please confirm that the details entered into the Entry Form are correct"</formula>
    </cfRule>
  </conditionalFormatting>
  <conditionalFormatting sqref="B240:C240">
    <cfRule type="expression" dxfId="531" priority="473">
      <formula>$B240&lt;&gt;"Type provider name manually"</formula>
    </cfRule>
  </conditionalFormatting>
  <conditionalFormatting sqref="A237:A241">
    <cfRule type="expression" dxfId="530" priority="464">
      <formula>$B$1="Legal Services Expenditure Report 2020-21"</formula>
    </cfRule>
  </conditionalFormatting>
  <conditionalFormatting sqref="A242:C242">
    <cfRule type="expression" dxfId="529" priority="463">
      <formula>$B241&lt;&gt;"Total value of expenditure"</formula>
    </cfRule>
  </conditionalFormatting>
  <conditionalFormatting sqref="B243:C243">
    <cfRule type="expression" dxfId="528" priority="462">
      <formula>$B243=""</formula>
    </cfRule>
  </conditionalFormatting>
  <conditionalFormatting sqref="C244 A244">
    <cfRule type="expression" dxfId="527" priority="461">
      <formula>$B244&lt;&gt;"Choose provider from the list"</formula>
    </cfRule>
  </conditionalFormatting>
  <conditionalFormatting sqref="B244">
    <cfRule type="expression" dxfId="526" priority="460">
      <formula>$B244&lt;&gt;"Choose provider from the list"</formula>
    </cfRule>
  </conditionalFormatting>
  <conditionalFormatting sqref="A245:C245">
    <cfRule type="expression" dxfId="525" priority="451">
      <formula>$B244&lt;&gt;"Choose provider from the list"</formula>
    </cfRule>
  </conditionalFormatting>
  <conditionalFormatting sqref="B246">
    <cfRule type="expression" dxfId="524" priority="452">
      <formula>$B246="Please revise entries or contact OLSC for assistance"</formula>
    </cfRule>
    <cfRule type="expression" dxfId="523" priority="453">
      <formula>$B246="Entry Form complete - proceed to Summary sheet"</formula>
    </cfRule>
    <cfRule type="expression" dxfId="522" priority="458">
      <formula>$B246&lt;&gt;"Total value of expenditure"</formula>
    </cfRule>
  </conditionalFormatting>
  <conditionalFormatting sqref="C246 A246">
    <cfRule type="expression" dxfId="521" priority="457">
      <formula>$B246&lt;&gt;"Total value of expenditure"</formula>
    </cfRule>
  </conditionalFormatting>
  <conditionalFormatting sqref="A243">
    <cfRule type="expression" dxfId="520" priority="456">
      <formula>$B243&lt;&gt;"Is another domestic provider required?"</formula>
    </cfRule>
  </conditionalFormatting>
  <conditionalFormatting sqref="B243">
    <cfRule type="expression" dxfId="519" priority="455">
      <formula>$B243="Please confirm that the details entered into the Entry Form are correct"</formula>
    </cfRule>
  </conditionalFormatting>
  <conditionalFormatting sqref="C243">
    <cfRule type="expression" dxfId="518" priority="454">
      <formula>$B243="Please confirm that the details entered into the Entry Form are correct"</formula>
    </cfRule>
  </conditionalFormatting>
  <conditionalFormatting sqref="B245:C245">
    <cfRule type="expression" dxfId="517" priority="459">
      <formula>$B245&lt;&gt;"Type provider name manually"</formula>
    </cfRule>
  </conditionalFormatting>
  <conditionalFormatting sqref="A242:A246">
    <cfRule type="expression" dxfId="516" priority="450">
      <formula>$B$1="Legal Services Expenditure Report 2020-21"</formula>
    </cfRule>
  </conditionalFormatting>
  <conditionalFormatting sqref="A247:C247">
    <cfRule type="expression" dxfId="515" priority="449">
      <formula>$B246&lt;&gt;"Total value of expenditure"</formula>
    </cfRule>
  </conditionalFormatting>
  <conditionalFormatting sqref="B248:C248">
    <cfRule type="expression" dxfId="514" priority="448">
      <formula>$B248=""</formula>
    </cfRule>
  </conditionalFormatting>
  <conditionalFormatting sqref="C249 A249">
    <cfRule type="expression" dxfId="513" priority="447">
      <formula>$B249&lt;&gt;"Choose provider from the list"</formula>
    </cfRule>
  </conditionalFormatting>
  <conditionalFormatting sqref="B249">
    <cfRule type="expression" dxfId="512" priority="446">
      <formula>$B249&lt;&gt;"Choose provider from the list"</formula>
    </cfRule>
  </conditionalFormatting>
  <conditionalFormatting sqref="A250:C250">
    <cfRule type="expression" dxfId="511" priority="437">
      <formula>$B249&lt;&gt;"Choose provider from the list"</formula>
    </cfRule>
  </conditionalFormatting>
  <conditionalFormatting sqref="B251">
    <cfRule type="expression" dxfId="510" priority="438">
      <formula>$B251="Please revise entries or contact OLSC for assistance"</formula>
    </cfRule>
    <cfRule type="expression" dxfId="509" priority="439">
      <formula>$B251="Entry Form complete - proceed to Summary sheet"</formula>
    </cfRule>
    <cfRule type="expression" dxfId="508" priority="444">
      <formula>$B251&lt;&gt;"Total value of expenditure"</formula>
    </cfRule>
  </conditionalFormatting>
  <conditionalFormatting sqref="C251 A251">
    <cfRule type="expression" dxfId="507" priority="443">
      <formula>$B251&lt;&gt;"Total value of expenditure"</formula>
    </cfRule>
  </conditionalFormatting>
  <conditionalFormatting sqref="A248">
    <cfRule type="expression" dxfId="506" priority="442">
      <formula>$B248&lt;&gt;"Is another domestic provider required?"</formula>
    </cfRule>
  </conditionalFormatting>
  <conditionalFormatting sqref="B248">
    <cfRule type="expression" dxfId="505" priority="441">
      <formula>$B248="Please confirm that the details entered into the Entry Form are correct"</formula>
    </cfRule>
  </conditionalFormatting>
  <conditionalFormatting sqref="C248">
    <cfRule type="expression" dxfId="504" priority="440">
      <formula>$B248="Please confirm that the details entered into the Entry Form are correct"</formula>
    </cfRule>
  </conditionalFormatting>
  <conditionalFormatting sqref="B250:C250">
    <cfRule type="expression" dxfId="503" priority="445">
      <formula>$B250&lt;&gt;"Type provider name manually"</formula>
    </cfRule>
  </conditionalFormatting>
  <conditionalFormatting sqref="A247:A251">
    <cfRule type="expression" dxfId="502" priority="436">
      <formula>$B$1="Legal Services Expenditure Report 2020-21"</formula>
    </cfRule>
  </conditionalFormatting>
  <conditionalFormatting sqref="A252:C252">
    <cfRule type="expression" dxfId="501" priority="435">
      <formula>$B251&lt;&gt;"Total value of expenditure"</formula>
    </cfRule>
  </conditionalFormatting>
  <conditionalFormatting sqref="B253:C253">
    <cfRule type="expression" dxfId="500" priority="434">
      <formula>$B253=""</formula>
    </cfRule>
  </conditionalFormatting>
  <conditionalFormatting sqref="C254 A254">
    <cfRule type="expression" dxfId="499" priority="433">
      <formula>$B254&lt;&gt;"Choose provider from the list"</formula>
    </cfRule>
  </conditionalFormatting>
  <conditionalFormatting sqref="B254">
    <cfRule type="expression" dxfId="498" priority="432">
      <formula>$B254&lt;&gt;"Choose provider from the list"</formula>
    </cfRule>
  </conditionalFormatting>
  <conditionalFormatting sqref="A255:C255">
    <cfRule type="expression" dxfId="497" priority="423">
      <formula>$B254&lt;&gt;"Choose provider from the list"</formula>
    </cfRule>
  </conditionalFormatting>
  <conditionalFormatting sqref="B256">
    <cfRule type="expression" dxfId="496" priority="424">
      <formula>$B256="Please revise entries or contact OLSC for assistance"</formula>
    </cfRule>
    <cfRule type="expression" dxfId="495" priority="425">
      <formula>$B256="Entry Form complete - proceed to Summary sheet"</formula>
    </cfRule>
    <cfRule type="expression" dxfId="494" priority="430">
      <formula>$B256&lt;&gt;"Total value of expenditure"</formula>
    </cfRule>
  </conditionalFormatting>
  <conditionalFormatting sqref="C256 A256">
    <cfRule type="expression" dxfId="493" priority="429">
      <formula>$B256&lt;&gt;"Total value of expenditure"</formula>
    </cfRule>
  </conditionalFormatting>
  <conditionalFormatting sqref="A253">
    <cfRule type="expression" dxfId="492" priority="428">
      <formula>$B253&lt;&gt;"Is another domestic provider required?"</formula>
    </cfRule>
  </conditionalFormatting>
  <conditionalFormatting sqref="B253">
    <cfRule type="expression" dxfId="491" priority="427">
      <formula>$B253="Please confirm that the details entered into the Entry Form are correct"</formula>
    </cfRule>
  </conditionalFormatting>
  <conditionalFormatting sqref="C253">
    <cfRule type="expression" dxfId="490" priority="426">
      <formula>$B253="Please confirm that the details entered into the Entry Form are correct"</formula>
    </cfRule>
  </conditionalFormatting>
  <conditionalFormatting sqref="B255:C255">
    <cfRule type="expression" dxfId="489" priority="431">
      <formula>$B255&lt;&gt;"Type provider name manually"</formula>
    </cfRule>
  </conditionalFormatting>
  <conditionalFormatting sqref="A252:A256">
    <cfRule type="expression" dxfId="488" priority="422">
      <formula>$B$1="Legal Services Expenditure Report 2020-21"</formula>
    </cfRule>
  </conditionalFormatting>
  <conditionalFormatting sqref="A257:C257">
    <cfRule type="expression" dxfId="487" priority="421">
      <formula>$B256&lt;&gt;"Total value of expenditure"</formula>
    </cfRule>
  </conditionalFormatting>
  <conditionalFormatting sqref="B258:C258">
    <cfRule type="expression" dxfId="486" priority="420">
      <formula>$B258=""</formula>
    </cfRule>
  </conditionalFormatting>
  <conditionalFormatting sqref="C259 A259">
    <cfRule type="expression" dxfId="485" priority="419">
      <formula>$B259&lt;&gt;"Choose provider from the list"</formula>
    </cfRule>
  </conditionalFormatting>
  <conditionalFormatting sqref="B259">
    <cfRule type="expression" dxfId="484" priority="418">
      <formula>$B259&lt;&gt;"Choose provider from the list"</formula>
    </cfRule>
  </conditionalFormatting>
  <conditionalFormatting sqref="A260:C260">
    <cfRule type="expression" dxfId="483" priority="409">
      <formula>$B259&lt;&gt;"Choose provider from the list"</formula>
    </cfRule>
  </conditionalFormatting>
  <conditionalFormatting sqref="B261">
    <cfRule type="expression" dxfId="482" priority="410">
      <formula>$B261="Please revise entries or contact OLSC for assistance"</formula>
    </cfRule>
    <cfRule type="expression" dxfId="481" priority="411">
      <formula>$B261="Entry Form complete - proceed to Summary sheet"</formula>
    </cfRule>
    <cfRule type="expression" dxfId="480" priority="416">
      <formula>$B261&lt;&gt;"Total value of expenditure"</formula>
    </cfRule>
  </conditionalFormatting>
  <conditionalFormatting sqref="C261 A261">
    <cfRule type="expression" dxfId="479" priority="415">
      <formula>$B261&lt;&gt;"Total value of expenditure"</formula>
    </cfRule>
  </conditionalFormatting>
  <conditionalFormatting sqref="A258">
    <cfRule type="expression" dxfId="478" priority="414">
      <formula>$B258&lt;&gt;"Is another domestic provider required?"</formula>
    </cfRule>
  </conditionalFormatting>
  <conditionalFormatting sqref="B258">
    <cfRule type="expression" dxfId="477" priority="413">
      <formula>$B258="Please confirm that the details entered into the Entry Form are correct"</formula>
    </cfRule>
  </conditionalFormatting>
  <conditionalFormatting sqref="C258">
    <cfRule type="expression" dxfId="476" priority="412">
      <formula>$B258="Please confirm that the details entered into the Entry Form are correct"</formula>
    </cfRule>
  </conditionalFormatting>
  <conditionalFormatting sqref="B260:C260">
    <cfRule type="expression" dxfId="475" priority="417">
      <formula>$B260&lt;&gt;"Type provider name manually"</formula>
    </cfRule>
  </conditionalFormatting>
  <conditionalFormatting sqref="A257:A261">
    <cfRule type="expression" dxfId="474" priority="408">
      <formula>$B$1="Legal Services Expenditure Report 2020-21"</formula>
    </cfRule>
  </conditionalFormatting>
  <conditionalFormatting sqref="A262:C262">
    <cfRule type="expression" dxfId="473" priority="407">
      <formula>$B261&lt;&gt;"Total value of expenditure"</formula>
    </cfRule>
  </conditionalFormatting>
  <conditionalFormatting sqref="B263:C263">
    <cfRule type="expression" dxfId="472" priority="406">
      <formula>$B263=""</formula>
    </cfRule>
  </conditionalFormatting>
  <conditionalFormatting sqref="C264 A264">
    <cfRule type="expression" dxfId="471" priority="405">
      <formula>$B264&lt;&gt;"Choose provider from the list"</formula>
    </cfRule>
  </conditionalFormatting>
  <conditionalFormatting sqref="B264">
    <cfRule type="expression" dxfId="470" priority="404">
      <formula>$B264&lt;&gt;"Choose provider from the list"</formula>
    </cfRule>
  </conditionalFormatting>
  <conditionalFormatting sqref="A265:C265">
    <cfRule type="expression" dxfId="469" priority="395">
      <formula>$B264&lt;&gt;"Choose provider from the list"</formula>
    </cfRule>
  </conditionalFormatting>
  <conditionalFormatting sqref="B266">
    <cfRule type="expression" dxfId="468" priority="396">
      <formula>$B266="Please revise entries or contact OLSC for assistance"</formula>
    </cfRule>
    <cfRule type="expression" dxfId="467" priority="397">
      <formula>$B266="Entry Form complete - proceed to Summary sheet"</formula>
    </cfRule>
    <cfRule type="expression" dxfId="466" priority="402">
      <formula>$B266&lt;&gt;"Total value of expenditure"</formula>
    </cfRule>
  </conditionalFormatting>
  <conditionalFormatting sqref="C266 A266">
    <cfRule type="expression" dxfId="465" priority="401">
      <formula>$B266&lt;&gt;"Total value of expenditure"</formula>
    </cfRule>
  </conditionalFormatting>
  <conditionalFormatting sqref="A263">
    <cfRule type="expression" dxfId="464" priority="400">
      <formula>$B263&lt;&gt;"Is another domestic provider required?"</formula>
    </cfRule>
  </conditionalFormatting>
  <conditionalFormatting sqref="B263">
    <cfRule type="expression" dxfId="463" priority="399">
      <formula>$B263="Please confirm that the details entered into the Entry Form are correct"</formula>
    </cfRule>
  </conditionalFormatting>
  <conditionalFormatting sqref="C263">
    <cfRule type="expression" dxfId="462" priority="398">
      <formula>$B263="Please confirm that the details entered into the Entry Form are correct"</formula>
    </cfRule>
  </conditionalFormatting>
  <conditionalFormatting sqref="B265:C265">
    <cfRule type="expression" dxfId="461" priority="403">
      <formula>$B265&lt;&gt;"Type provider name manually"</formula>
    </cfRule>
  </conditionalFormatting>
  <conditionalFormatting sqref="A262:A266">
    <cfRule type="expression" dxfId="460" priority="394">
      <formula>$B$1="Legal Services Expenditure Report 2020-21"</formula>
    </cfRule>
  </conditionalFormatting>
  <conditionalFormatting sqref="A267:C267">
    <cfRule type="expression" dxfId="459" priority="393">
      <formula>$B266&lt;&gt;"Total value of expenditure"</formula>
    </cfRule>
  </conditionalFormatting>
  <conditionalFormatting sqref="B268:C268">
    <cfRule type="expression" dxfId="458" priority="392">
      <formula>$B268=""</formula>
    </cfRule>
  </conditionalFormatting>
  <conditionalFormatting sqref="C269 A269">
    <cfRule type="expression" dxfId="457" priority="391">
      <formula>$B269&lt;&gt;"Choose provider from the list"</formula>
    </cfRule>
  </conditionalFormatting>
  <conditionalFormatting sqref="B269">
    <cfRule type="expression" dxfId="456" priority="390">
      <formula>$B269&lt;&gt;"Choose provider from the list"</formula>
    </cfRule>
  </conditionalFormatting>
  <conditionalFormatting sqref="A270:C270">
    <cfRule type="expression" dxfId="455" priority="381">
      <formula>$B269&lt;&gt;"Choose provider from the list"</formula>
    </cfRule>
  </conditionalFormatting>
  <conditionalFormatting sqref="B271">
    <cfRule type="expression" dxfId="454" priority="382">
      <formula>$B271="Please revise entries or contact OLSC for assistance"</formula>
    </cfRule>
    <cfRule type="expression" dxfId="453" priority="383">
      <formula>$B271="Entry Form complete - proceed to Summary sheet"</formula>
    </cfRule>
    <cfRule type="expression" dxfId="452" priority="388">
      <formula>$B271&lt;&gt;"Total value of expenditure"</formula>
    </cfRule>
  </conditionalFormatting>
  <conditionalFormatting sqref="C271 A271">
    <cfRule type="expression" dxfId="451" priority="387">
      <formula>$B271&lt;&gt;"Total value of expenditure"</formula>
    </cfRule>
  </conditionalFormatting>
  <conditionalFormatting sqref="A268">
    <cfRule type="expression" dxfId="450" priority="386">
      <formula>$B268&lt;&gt;"Is another domestic provider required?"</formula>
    </cfRule>
  </conditionalFormatting>
  <conditionalFormatting sqref="B268">
    <cfRule type="expression" dxfId="449" priority="385">
      <formula>$B268="Please confirm that the details entered into the Entry Form are correct"</formula>
    </cfRule>
  </conditionalFormatting>
  <conditionalFormatting sqref="C268">
    <cfRule type="expression" dxfId="448" priority="384">
      <formula>$B268="Please confirm that the details entered into the Entry Form are correct"</formula>
    </cfRule>
  </conditionalFormatting>
  <conditionalFormatting sqref="B270:C270">
    <cfRule type="expression" dxfId="447" priority="389">
      <formula>$B270&lt;&gt;"Type provider name manually"</formula>
    </cfRule>
  </conditionalFormatting>
  <conditionalFormatting sqref="A267:A271">
    <cfRule type="expression" dxfId="446" priority="380">
      <formula>$B$1="Legal Services Expenditure Report 2020-21"</formula>
    </cfRule>
  </conditionalFormatting>
  <conditionalFormatting sqref="A272:C272">
    <cfRule type="expression" dxfId="445" priority="379">
      <formula>$B271&lt;&gt;"Total value of expenditure"</formula>
    </cfRule>
  </conditionalFormatting>
  <conditionalFormatting sqref="B273:C273">
    <cfRule type="expression" dxfId="444" priority="378">
      <formula>$B273=""</formula>
    </cfRule>
  </conditionalFormatting>
  <conditionalFormatting sqref="C274 A274">
    <cfRule type="expression" dxfId="443" priority="377">
      <formula>$B274&lt;&gt;"Choose provider from the list"</formula>
    </cfRule>
  </conditionalFormatting>
  <conditionalFormatting sqref="B274">
    <cfRule type="expression" dxfId="442" priority="376">
      <formula>$B274&lt;&gt;"Choose provider from the list"</formula>
    </cfRule>
  </conditionalFormatting>
  <conditionalFormatting sqref="A275:C275">
    <cfRule type="expression" dxfId="441" priority="367">
      <formula>$B274&lt;&gt;"Choose provider from the list"</formula>
    </cfRule>
  </conditionalFormatting>
  <conditionalFormatting sqref="B276">
    <cfRule type="expression" dxfId="440" priority="368">
      <formula>$B276="Please revise entries or contact OLSC for assistance"</formula>
    </cfRule>
    <cfRule type="expression" dxfId="439" priority="369">
      <formula>$B276="Entry Form complete - proceed to Summary sheet"</formula>
    </cfRule>
    <cfRule type="expression" dxfId="438" priority="374">
      <formula>$B276&lt;&gt;"Total value of expenditure"</formula>
    </cfRule>
  </conditionalFormatting>
  <conditionalFormatting sqref="C276 A276">
    <cfRule type="expression" dxfId="437" priority="373">
      <formula>$B276&lt;&gt;"Total value of expenditure"</formula>
    </cfRule>
  </conditionalFormatting>
  <conditionalFormatting sqref="A273">
    <cfRule type="expression" dxfId="436" priority="372">
      <formula>$B273&lt;&gt;"Is another domestic provider required?"</formula>
    </cfRule>
  </conditionalFormatting>
  <conditionalFormatting sqref="B273">
    <cfRule type="expression" dxfId="435" priority="371">
      <formula>$B273="Please confirm that the details entered into the Entry Form are correct"</formula>
    </cfRule>
  </conditionalFormatting>
  <conditionalFormatting sqref="C273">
    <cfRule type="expression" dxfId="434" priority="370">
      <formula>$B273="Please confirm that the details entered into the Entry Form are correct"</formula>
    </cfRule>
  </conditionalFormatting>
  <conditionalFormatting sqref="B275:C275">
    <cfRule type="expression" dxfId="433" priority="375">
      <formula>$B275&lt;&gt;"Type provider name manually"</formula>
    </cfRule>
  </conditionalFormatting>
  <conditionalFormatting sqref="A272:A276">
    <cfRule type="expression" dxfId="432" priority="366">
      <formula>$B$1="Legal Services Expenditure Report 2020-21"</formula>
    </cfRule>
  </conditionalFormatting>
  <conditionalFormatting sqref="A277:C277">
    <cfRule type="expression" dxfId="431" priority="365">
      <formula>$B276&lt;&gt;"Total value of expenditure"</formula>
    </cfRule>
  </conditionalFormatting>
  <conditionalFormatting sqref="B278:C278">
    <cfRule type="expression" dxfId="430" priority="364">
      <formula>$B278=""</formula>
    </cfRule>
  </conditionalFormatting>
  <conditionalFormatting sqref="C279 A279">
    <cfRule type="expression" dxfId="429" priority="363">
      <formula>$B279&lt;&gt;"Choose provider from the list"</formula>
    </cfRule>
  </conditionalFormatting>
  <conditionalFormatting sqref="B279">
    <cfRule type="expression" dxfId="428" priority="362">
      <formula>$B279&lt;&gt;"Choose provider from the list"</formula>
    </cfRule>
  </conditionalFormatting>
  <conditionalFormatting sqref="A280:C280">
    <cfRule type="expression" dxfId="427" priority="353">
      <formula>$B279&lt;&gt;"Choose provider from the list"</formula>
    </cfRule>
  </conditionalFormatting>
  <conditionalFormatting sqref="B281">
    <cfRule type="expression" dxfId="426" priority="354">
      <formula>$B281="Please revise entries or contact OLSC for assistance"</formula>
    </cfRule>
    <cfRule type="expression" dxfId="425" priority="355">
      <formula>$B281="Entry Form complete - proceed to Summary sheet"</formula>
    </cfRule>
    <cfRule type="expression" dxfId="424" priority="360">
      <formula>$B281&lt;&gt;"Total value of expenditure"</formula>
    </cfRule>
  </conditionalFormatting>
  <conditionalFormatting sqref="C281 A281">
    <cfRule type="expression" dxfId="423" priority="359">
      <formula>$B281&lt;&gt;"Total value of expenditure"</formula>
    </cfRule>
  </conditionalFormatting>
  <conditionalFormatting sqref="A278">
    <cfRule type="expression" dxfId="422" priority="358">
      <formula>$B278&lt;&gt;"Is another domestic provider required?"</formula>
    </cfRule>
  </conditionalFormatting>
  <conditionalFormatting sqref="B278">
    <cfRule type="expression" dxfId="421" priority="357">
      <formula>$B278="Please confirm that the details entered into the Entry Form are correct"</formula>
    </cfRule>
  </conditionalFormatting>
  <conditionalFormatting sqref="C278">
    <cfRule type="expression" dxfId="420" priority="356">
      <formula>$B278="Please confirm that the details entered into the Entry Form are correct"</formula>
    </cfRule>
  </conditionalFormatting>
  <conditionalFormatting sqref="B280:C280">
    <cfRule type="expression" dxfId="419" priority="361">
      <formula>$B280&lt;&gt;"Type provider name manually"</formula>
    </cfRule>
  </conditionalFormatting>
  <conditionalFormatting sqref="A277:A281">
    <cfRule type="expression" dxfId="418" priority="352">
      <formula>$B$1="Legal Services Expenditure Report 2020-21"</formula>
    </cfRule>
  </conditionalFormatting>
  <conditionalFormatting sqref="A282:C282">
    <cfRule type="expression" dxfId="417" priority="351">
      <formula>$B281&lt;&gt;"Total value of expenditure"</formula>
    </cfRule>
  </conditionalFormatting>
  <conditionalFormatting sqref="B283:C283">
    <cfRule type="expression" dxfId="416" priority="350">
      <formula>$B283=""</formula>
    </cfRule>
  </conditionalFormatting>
  <conditionalFormatting sqref="C284 A284">
    <cfRule type="expression" dxfId="415" priority="349">
      <formula>$B284&lt;&gt;"Choose provider from the list"</formula>
    </cfRule>
  </conditionalFormatting>
  <conditionalFormatting sqref="B284">
    <cfRule type="expression" dxfId="414" priority="348">
      <formula>$B284&lt;&gt;"Choose provider from the list"</formula>
    </cfRule>
  </conditionalFormatting>
  <conditionalFormatting sqref="A285:C285">
    <cfRule type="expression" dxfId="413" priority="339">
      <formula>$B284&lt;&gt;"Choose provider from the list"</formula>
    </cfRule>
  </conditionalFormatting>
  <conditionalFormatting sqref="B286">
    <cfRule type="expression" dxfId="412" priority="340">
      <formula>$B286="Please revise entries or contact OLSC for assistance"</formula>
    </cfRule>
    <cfRule type="expression" dxfId="411" priority="341">
      <formula>$B286="Entry Form complete - proceed to Summary sheet"</formula>
    </cfRule>
    <cfRule type="expression" dxfId="410" priority="346">
      <formula>$B286&lt;&gt;"Total value of expenditure"</formula>
    </cfRule>
  </conditionalFormatting>
  <conditionalFormatting sqref="C286 A286">
    <cfRule type="expression" dxfId="409" priority="345">
      <formula>$B286&lt;&gt;"Total value of expenditure"</formula>
    </cfRule>
  </conditionalFormatting>
  <conditionalFormatting sqref="A283">
    <cfRule type="expression" dxfId="408" priority="344">
      <formula>$B283&lt;&gt;"Is another domestic provider required?"</formula>
    </cfRule>
  </conditionalFormatting>
  <conditionalFormatting sqref="B283">
    <cfRule type="expression" dxfId="407" priority="343">
      <formula>$B283="Please confirm that the details entered into the Entry Form are correct"</formula>
    </cfRule>
  </conditionalFormatting>
  <conditionalFormatting sqref="C283">
    <cfRule type="expression" dxfId="406" priority="342">
      <formula>$B283="Please confirm that the details entered into the Entry Form are correct"</formula>
    </cfRule>
  </conditionalFormatting>
  <conditionalFormatting sqref="B285:C285">
    <cfRule type="expression" dxfId="405" priority="347">
      <formula>$B285&lt;&gt;"Type provider name manually"</formula>
    </cfRule>
  </conditionalFormatting>
  <conditionalFormatting sqref="A282:A286">
    <cfRule type="expression" dxfId="404" priority="338">
      <formula>$B$1="Legal Services Expenditure Report 2020-21"</formula>
    </cfRule>
  </conditionalFormatting>
  <conditionalFormatting sqref="A287:C287">
    <cfRule type="expression" dxfId="403" priority="337">
      <formula>$B286&lt;&gt;"Total value of expenditure"</formula>
    </cfRule>
  </conditionalFormatting>
  <conditionalFormatting sqref="B288:C288">
    <cfRule type="expression" dxfId="402" priority="336">
      <formula>$B288=""</formula>
    </cfRule>
  </conditionalFormatting>
  <conditionalFormatting sqref="C289 A289">
    <cfRule type="expression" dxfId="401" priority="335">
      <formula>$B289&lt;&gt;"Choose provider from the list"</formula>
    </cfRule>
  </conditionalFormatting>
  <conditionalFormatting sqref="B289">
    <cfRule type="expression" dxfId="400" priority="334">
      <formula>$B289&lt;&gt;"Choose provider from the list"</formula>
    </cfRule>
  </conditionalFormatting>
  <conditionalFormatting sqref="A290:C290">
    <cfRule type="expression" dxfId="399" priority="325">
      <formula>$B289&lt;&gt;"Choose provider from the list"</formula>
    </cfRule>
  </conditionalFormatting>
  <conditionalFormatting sqref="B291">
    <cfRule type="expression" dxfId="398" priority="326">
      <formula>$B291="Please revise entries or contact OLSC for assistance"</formula>
    </cfRule>
    <cfRule type="expression" dxfId="397" priority="327">
      <formula>$B291="Entry Form complete - proceed to Summary sheet"</formula>
    </cfRule>
    <cfRule type="expression" dxfId="396" priority="332">
      <formula>$B291&lt;&gt;"Total value of expenditure"</formula>
    </cfRule>
  </conditionalFormatting>
  <conditionalFormatting sqref="C291 A291">
    <cfRule type="expression" dxfId="395" priority="331">
      <formula>$B291&lt;&gt;"Total value of expenditure"</formula>
    </cfRule>
  </conditionalFormatting>
  <conditionalFormatting sqref="A288">
    <cfRule type="expression" dxfId="394" priority="330">
      <formula>$B288&lt;&gt;"Is another domestic provider required?"</formula>
    </cfRule>
  </conditionalFormatting>
  <conditionalFormatting sqref="B288">
    <cfRule type="expression" dxfId="393" priority="329">
      <formula>$B288="Please confirm that the details entered into the Entry Form are correct"</formula>
    </cfRule>
  </conditionalFormatting>
  <conditionalFormatting sqref="C288">
    <cfRule type="expression" dxfId="392" priority="328">
      <formula>$B288="Please confirm that the details entered into the Entry Form are correct"</formula>
    </cfRule>
  </conditionalFormatting>
  <conditionalFormatting sqref="B290:C290">
    <cfRule type="expression" dxfId="391" priority="333">
      <formula>$B290&lt;&gt;"Type provider name manually"</formula>
    </cfRule>
  </conditionalFormatting>
  <conditionalFormatting sqref="A287:A291">
    <cfRule type="expression" dxfId="390" priority="324">
      <formula>$B$1="Legal Services Expenditure Report 2020-21"</formula>
    </cfRule>
  </conditionalFormatting>
  <conditionalFormatting sqref="A292:C292">
    <cfRule type="expression" dxfId="389" priority="323">
      <formula>$B291&lt;&gt;"Total value of expenditure"</formula>
    </cfRule>
  </conditionalFormatting>
  <conditionalFormatting sqref="B293:C293">
    <cfRule type="expression" dxfId="388" priority="322">
      <formula>$B293=""</formula>
    </cfRule>
  </conditionalFormatting>
  <conditionalFormatting sqref="C294 A294">
    <cfRule type="expression" dxfId="387" priority="321">
      <formula>$B294&lt;&gt;"Choose provider from the list"</formula>
    </cfRule>
  </conditionalFormatting>
  <conditionalFormatting sqref="B294">
    <cfRule type="expression" dxfId="386" priority="320">
      <formula>$B294&lt;&gt;"Choose provider from the list"</formula>
    </cfRule>
  </conditionalFormatting>
  <conditionalFormatting sqref="A295:C295">
    <cfRule type="expression" dxfId="385" priority="311">
      <formula>$B294&lt;&gt;"Choose provider from the list"</formula>
    </cfRule>
  </conditionalFormatting>
  <conditionalFormatting sqref="B296">
    <cfRule type="expression" dxfId="384" priority="312">
      <formula>$B296="Please revise entries or contact OLSC for assistance"</formula>
    </cfRule>
    <cfRule type="expression" dxfId="383" priority="313">
      <formula>$B296="Entry Form complete - proceed to Summary sheet"</formula>
    </cfRule>
    <cfRule type="expression" dxfId="382" priority="318">
      <formula>$B296&lt;&gt;"Total value of expenditure"</formula>
    </cfRule>
  </conditionalFormatting>
  <conditionalFormatting sqref="C296 A296">
    <cfRule type="expression" dxfId="381" priority="317">
      <formula>$B296&lt;&gt;"Total value of expenditure"</formula>
    </cfRule>
  </conditionalFormatting>
  <conditionalFormatting sqref="A293">
    <cfRule type="expression" dxfId="380" priority="316">
      <formula>$B293&lt;&gt;"Is another domestic provider required?"</formula>
    </cfRule>
  </conditionalFormatting>
  <conditionalFormatting sqref="B293">
    <cfRule type="expression" dxfId="379" priority="315">
      <formula>$B293="Please confirm that the details entered into the Entry Form are correct"</formula>
    </cfRule>
  </conditionalFormatting>
  <conditionalFormatting sqref="C293">
    <cfRule type="expression" dxfId="378" priority="314">
      <formula>$B293="Please confirm that the details entered into the Entry Form are correct"</formula>
    </cfRule>
  </conditionalFormatting>
  <conditionalFormatting sqref="B295:C295">
    <cfRule type="expression" dxfId="377" priority="319">
      <formula>$B295&lt;&gt;"Type provider name manually"</formula>
    </cfRule>
  </conditionalFormatting>
  <conditionalFormatting sqref="A292:A296">
    <cfRule type="expression" dxfId="376" priority="310">
      <formula>$B$1="Legal Services Expenditure Report 2020-21"</formula>
    </cfRule>
  </conditionalFormatting>
  <conditionalFormatting sqref="A297:C297">
    <cfRule type="expression" dxfId="375" priority="309">
      <formula>$B296&lt;&gt;"Total value of expenditure"</formula>
    </cfRule>
  </conditionalFormatting>
  <conditionalFormatting sqref="B298:C298">
    <cfRule type="expression" dxfId="374" priority="308">
      <formula>$B298=""</formula>
    </cfRule>
  </conditionalFormatting>
  <conditionalFormatting sqref="C299 A299">
    <cfRule type="expression" dxfId="373" priority="307">
      <formula>$B299&lt;&gt;"Choose provider from the list"</formula>
    </cfRule>
  </conditionalFormatting>
  <conditionalFormatting sqref="B299">
    <cfRule type="expression" dxfId="372" priority="306">
      <formula>$B299&lt;&gt;"Choose provider from the list"</formula>
    </cfRule>
  </conditionalFormatting>
  <conditionalFormatting sqref="A300:C300">
    <cfRule type="expression" dxfId="371" priority="297">
      <formula>$B299&lt;&gt;"Choose provider from the list"</formula>
    </cfRule>
  </conditionalFormatting>
  <conditionalFormatting sqref="B301">
    <cfRule type="expression" dxfId="370" priority="298">
      <formula>$B301="Please revise entries or contact OLSC for assistance"</formula>
    </cfRule>
    <cfRule type="expression" dxfId="369" priority="299">
      <formula>$B301="Entry Form complete - proceed to Summary sheet"</formula>
    </cfRule>
    <cfRule type="expression" dxfId="368" priority="304">
      <formula>$B301&lt;&gt;"Total value of expenditure"</formula>
    </cfRule>
  </conditionalFormatting>
  <conditionalFormatting sqref="C301 A301">
    <cfRule type="expression" dxfId="367" priority="303">
      <formula>$B301&lt;&gt;"Total value of expenditure"</formula>
    </cfRule>
  </conditionalFormatting>
  <conditionalFormatting sqref="A298">
    <cfRule type="expression" dxfId="366" priority="302">
      <formula>$B298&lt;&gt;"Is another domestic provider required?"</formula>
    </cfRule>
  </conditionalFormatting>
  <conditionalFormatting sqref="B298">
    <cfRule type="expression" dxfId="365" priority="301">
      <formula>$B298="Please confirm that the details entered into the Entry Form are correct"</formula>
    </cfRule>
  </conditionalFormatting>
  <conditionalFormatting sqref="C298">
    <cfRule type="expression" dxfId="364" priority="300">
      <formula>$B298="Please confirm that the details entered into the Entry Form are correct"</formula>
    </cfRule>
  </conditionalFormatting>
  <conditionalFormatting sqref="B300:C300">
    <cfRule type="expression" dxfId="363" priority="305">
      <formula>$B300&lt;&gt;"Type provider name manually"</formula>
    </cfRule>
  </conditionalFormatting>
  <conditionalFormatting sqref="A297:A301">
    <cfRule type="expression" dxfId="362" priority="296">
      <formula>$B$1="Legal Services Expenditure Report 2020-21"</formula>
    </cfRule>
  </conditionalFormatting>
  <conditionalFormatting sqref="A302:C302">
    <cfRule type="expression" dxfId="361" priority="295">
      <formula>$B301&lt;&gt;"Total value of expenditure"</formula>
    </cfRule>
  </conditionalFormatting>
  <conditionalFormatting sqref="B303:C303">
    <cfRule type="expression" dxfId="360" priority="294">
      <formula>$B303=""</formula>
    </cfRule>
  </conditionalFormatting>
  <conditionalFormatting sqref="C304 A304">
    <cfRule type="expression" dxfId="359" priority="293">
      <formula>$B304&lt;&gt;"Choose provider from the list"</formula>
    </cfRule>
  </conditionalFormatting>
  <conditionalFormatting sqref="B304">
    <cfRule type="expression" dxfId="358" priority="292">
      <formula>$B304&lt;&gt;"Choose provider from the list"</formula>
    </cfRule>
  </conditionalFormatting>
  <conditionalFormatting sqref="A305:C305">
    <cfRule type="expression" dxfId="357" priority="283">
      <formula>$B304&lt;&gt;"Choose provider from the list"</formula>
    </cfRule>
  </conditionalFormatting>
  <conditionalFormatting sqref="B306">
    <cfRule type="expression" dxfId="356" priority="284">
      <formula>$B306="Please revise entries or contact OLSC for assistance"</formula>
    </cfRule>
    <cfRule type="expression" dxfId="355" priority="285">
      <formula>$B306="Entry Form complete - proceed to Summary sheet"</formula>
    </cfRule>
    <cfRule type="expression" dxfId="354" priority="290">
      <formula>$B306&lt;&gt;"Total value of expenditure"</formula>
    </cfRule>
  </conditionalFormatting>
  <conditionalFormatting sqref="C306 A306">
    <cfRule type="expression" dxfId="353" priority="289">
      <formula>$B306&lt;&gt;"Total value of expenditure"</formula>
    </cfRule>
  </conditionalFormatting>
  <conditionalFormatting sqref="A303">
    <cfRule type="expression" dxfId="352" priority="288">
      <formula>$B303&lt;&gt;"Is another domestic provider required?"</formula>
    </cfRule>
  </conditionalFormatting>
  <conditionalFormatting sqref="B303">
    <cfRule type="expression" dxfId="351" priority="287">
      <formula>$B303="Please confirm that the details entered into the Entry Form are correct"</formula>
    </cfRule>
  </conditionalFormatting>
  <conditionalFormatting sqref="C303">
    <cfRule type="expression" dxfId="350" priority="286">
      <formula>$B303="Please confirm that the details entered into the Entry Form are correct"</formula>
    </cfRule>
  </conditionalFormatting>
  <conditionalFormatting sqref="B305:C305">
    <cfRule type="expression" dxfId="349" priority="291">
      <formula>$B305&lt;&gt;"Type provider name manually"</formula>
    </cfRule>
  </conditionalFormatting>
  <conditionalFormatting sqref="A302:A306">
    <cfRule type="expression" dxfId="348" priority="282">
      <formula>$B$1="Legal Services Expenditure Report 2020-21"</formula>
    </cfRule>
  </conditionalFormatting>
  <conditionalFormatting sqref="A307:C307">
    <cfRule type="expression" dxfId="347" priority="281">
      <formula>$B306&lt;&gt;"Total value of expenditure"</formula>
    </cfRule>
  </conditionalFormatting>
  <conditionalFormatting sqref="B308:C308">
    <cfRule type="expression" dxfId="346" priority="280">
      <formula>$B308=""</formula>
    </cfRule>
  </conditionalFormatting>
  <conditionalFormatting sqref="C309 A309">
    <cfRule type="expression" dxfId="345" priority="279">
      <formula>$B309&lt;&gt;"Choose provider from the list"</formula>
    </cfRule>
  </conditionalFormatting>
  <conditionalFormatting sqref="B309">
    <cfRule type="expression" dxfId="344" priority="278">
      <formula>$B309&lt;&gt;"Choose provider from the list"</formula>
    </cfRule>
  </conditionalFormatting>
  <conditionalFormatting sqref="A310:C310">
    <cfRule type="expression" dxfId="343" priority="269">
      <formula>$B309&lt;&gt;"Choose provider from the list"</formula>
    </cfRule>
  </conditionalFormatting>
  <conditionalFormatting sqref="B311">
    <cfRule type="expression" dxfId="342" priority="270">
      <formula>$B311="Please revise entries or contact OLSC for assistance"</formula>
    </cfRule>
    <cfRule type="expression" dxfId="341" priority="271">
      <formula>$B311="Entry Form complete - proceed to Summary sheet"</formula>
    </cfRule>
    <cfRule type="expression" dxfId="340" priority="276">
      <formula>$B311&lt;&gt;"Total value of expenditure"</formula>
    </cfRule>
  </conditionalFormatting>
  <conditionalFormatting sqref="C311 A311">
    <cfRule type="expression" dxfId="339" priority="275">
      <formula>$B311&lt;&gt;"Total value of expenditure"</formula>
    </cfRule>
  </conditionalFormatting>
  <conditionalFormatting sqref="A308">
    <cfRule type="expression" dxfId="338" priority="274">
      <formula>$B308&lt;&gt;"Is another domestic provider required?"</formula>
    </cfRule>
  </conditionalFormatting>
  <conditionalFormatting sqref="B308">
    <cfRule type="expression" dxfId="337" priority="273">
      <formula>$B308="Please confirm that the details entered into the Entry Form are correct"</formula>
    </cfRule>
  </conditionalFormatting>
  <conditionalFormatting sqref="C308">
    <cfRule type="expression" dxfId="336" priority="272">
      <formula>$B308="Please confirm that the details entered into the Entry Form are correct"</formula>
    </cfRule>
  </conditionalFormatting>
  <conditionalFormatting sqref="B310:C310">
    <cfRule type="expression" dxfId="335" priority="277">
      <formula>$B310&lt;&gt;"Type provider name manually"</formula>
    </cfRule>
  </conditionalFormatting>
  <conditionalFormatting sqref="A307:A311">
    <cfRule type="expression" dxfId="334" priority="268">
      <formula>$B$1="Legal Services Expenditure Report 2020-21"</formula>
    </cfRule>
  </conditionalFormatting>
  <conditionalFormatting sqref="A312:C312">
    <cfRule type="expression" dxfId="333" priority="267">
      <formula>$B311&lt;&gt;"Total value of expenditure"</formula>
    </cfRule>
  </conditionalFormatting>
  <conditionalFormatting sqref="B313:C313">
    <cfRule type="expression" dxfId="332" priority="266">
      <formula>$B313=""</formula>
    </cfRule>
  </conditionalFormatting>
  <conditionalFormatting sqref="C314 A314">
    <cfRule type="expression" dxfId="331" priority="265">
      <formula>$B314&lt;&gt;"Choose provider from the list"</formula>
    </cfRule>
  </conditionalFormatting>
  <conditionalFormatting sqref="B314">
    <cfRule type="expression" dxfId="330" priority="264">
      <formula>$B314&lt;&gt;"Choose provider from the list"</formula>
    </cfRule>
  </conditionalFormatting>
  <conditionalFormatting sqref="A315:C315">
    <cfRule type="expression" dxfId="329" priority="255">
      <formula>$B314&lt;&gt;"Choose provider from the list"</formula>
    </cfRule>
  </conditionalFormatting>
  <conditionalFormatting sqref="B316">
    <cfRule type="expression" dxfId="328" priority="256">
      <formula>$B316="Please revise entries or contact OLSC for assistance"</formula>
    </cfRule>
    <cfRule type="expression" dxfId="327" priority="257">
      <formula>$B316="Entry Form complete - proceed to Summary sheet"</formula>
    </cfRule>
    <cfRule type="expression" dxfId="326" priority="262">
      <formula>$B316&lt;&gt;"Total value of expenditure"</formula>
    </cfRule>
  </conditionalFormatting>
  <conditionalFormatting sqref="C316 A316">
    <cfRule type="expression" dxfId="325" priority="261">
      <formula>$B316&lt;&gt;"Total value of expenditure"</formula>
    </cfRule>
  </conditionalFormatting>
  <conditionalFormatting sqref="A313">
    <cfRule type="expression" dxfId="324" priority="260">
      <formula>$B313&lt;&gt;"Is another domestic provider required?"</formula>
    </cfRule>
  </conditionalFormatting>
  <conditionalFormatting sqref="B313">
    <cfRule type="expression" dxfId="323" priority="259">
      <formula>$B313="Please confirm that the details entered into the Entry Form are correct"</formula>
    </cfRule>
  </conditionalFormatting>
  <conditionalFormatting sqref="C313">
    <cfRule type="expression" dxfId="322" priority="258">
      <formula>$B313="Please confirm that the details entered into the Entry Form are correct"</formula>
    </cfRule>
  </conditionalFormatting>
  <conditionalFormatting sqref="B315:C315">
    <cfRule type="expression" dxfId="321" priority="263">
      <formula>$B315&lt;&gt;"Type provider name manually"</formula>
    </cfRule>
  </conditionalFormatting>
  <conditionalFormatting sqref="A312:A316">
    <cfRule type="expression" dxfId="320" priority="254">
      <formula>$B$1="Legal Services Expenditure Report 2020-21"</formula>
    </cfRule>
  </conditionalFormatting>
  <conditionalFormatting sqref="A317:C317">
    <cfRule type="expression" dxfId="319" priority="253">
      <formula>$B316&lt;&gt;"Total value of expenditure"</formula>
    </cfRule>
  </conditionalFormatting>
  <conditionalFormatting sqref="B318:C318">
    <cfRule type="expression" dxfId="318" priority="252">
      <formula>$B318=""</formula>
    </cfRule>
  </conditionalFormatting>
  <conditionalFormatting sqref="C319 A319">
    <cfRule type="expression" dxfId="317" priority="251">
      <formula>$B319&lt;&gt;"Choose provider from the list"</formula>
    </cfRule>
  </conditionalFormatting>
  <conditionalFormatting sqref="B319">
    <cfRule type="expression" dxfId="316" priority="250">
      <formula>$B319&lt;&gt;"Choose provider from the list"</formula>
    </cfRule>
  </conditionalFormatting>
  <conditionalFormatting sqref="A320:C320">
    <cfRule type="expression" dxfId="315" priority="241">
      <formula>$B319&lt;&gt;"Choose provider from the list"</formula>
    </cfRule>
  </conditionalFormatting>
  <conditionalFormatting sqref="B321">
    <cfRule type="expression" dxfId="314" priority="242">
      <formula>$B321="Please revise entries or contact OLSC for assistance"</formula>
    </cfRule>
    <cfRule type="expression" dxfId="313" priority="243">
      <formula>$B321="Entry Form complete - proceed to Summary sheet"</formula>
    </cfRule>
    <cfRule type="expression" dxfId="312" priority="248">
      <formula>$B321&lt;&gt;"Total value of expenditure"</formula>
    </cfRule>
  </conditionalFormatting>
  <conditionalFormatting sqref="C321 A321">
    <cfRule type="expression" dxfId="311" priority="247">
      <formula>$B321&lt;&gt;"Total value of expenditure"</formula>
    </cfRule>
  </conditionalFormatting>
  <conditionalFormatting sqref="A318">
    <cfRule type="expression" dxfId="310" priority="246">
      <formula>$B318&lt;&gt;"Is another domestic provider required?"</formula>
    </cfRule>
  </conditionalFormatting>
  <conditionalFormatting sqref="B318">
    <cfRule type="expression" dxfId="309" priority="245">
      <formula>$B318="Please confirm that the details entered into the Entry Form are correct"</formula>
    </cfRule>
  </conditionalFormatting>
  <conditionalFormatting sqref="C318">
    <cfRule type="expression" dxfId="308" priority="244">
      <formula>$B318="Please confirm that the details entered into the Entry Form are correct"</formula>
    </cfRule>
  </conditionalFormatting>
  <conditionalFormatting sqref="B320:C320">
    <cfRule type="expression" dxfId="307" priority="249">
      <formula>$B320&lt;&gt;"Type provider name manually"</formula>
    </cfRule>
  </conditionalFormatting>
  <conditionalFormatting sqref="A317:A321">
    <cfRule type="expression" dxfId="306" priority="240">
      <formula>$B$1="Legal Services Expenditure Report 2020-21"</formula>
    </cfRule>
  </conditionalFormatting>
  <conditionalFormatting sqref="A322:C322">
    <cfRule type="expression" dxfId="305" priority="239">
      <formula>$B321&lt;&gt;"Total value of expenditure"</formula>
    </cfRule>
  </conditionalFormatting>
  <conditionalFormatting sqref="B323:C323">
    <cfRule type="expression" dxfId="304" priority="238">
      <formula>$B323=""</formula>
    </cfRule>
  </conditionalFormatting>
  <conditionalFormatting sqref="C324 A324">
    <cfRule type="expression" dxfId="303" priority="237">
      <formula>$B324&lt;&gt;"Choose provider from the list"</formula>
    </cfRule>
  </conditionalFormatting>
  <conditionalFormatting sqref="B324">
    <cfRule type="expression" dxfId="302" priority="236">
      <formula>$B324&lt;&gt;"Choose provider from the list"</formula>
    </cfRule>
  </conditionalFormatting>
  <conditionalFormatting sqref="A325:C325">
    <cfRule type="expression" dxfId="301" priority="227">
      <formula>$B324&lt;&gt;"Choose provider from the list"</formula>
    </cfRule>
  </conditionalFormatting>
  <conditionalFormatting sqref="B326">
    <cfRule type="expression" dxfId="300" priority="228">
      <formula>$B326="Please revise entries or contact OLSC for assistance"</formula>
    </cfRule>
    <cfRule type="expression" dxfId="299" priority="229">
      <formula>$B326="Entry Form complete - proceed to Summary sheet"</formula>
    </cfRule>
    <cfRule type="expression" dxfId="298" priority="234">
      <formula>$B326&lt;&gt;"Total value of expenditure"</formula>
    </cfRule>
  </conditionalFormatting>
  <conditionalFormatting sqref="C326 A326">
    <cfRule type="expression" dxfId="297" priority="233">
      <formula>$B326&lt;&gt;"Total value of expenditure"</formula>
    </cfRule>
  </conditionalFormatting>
  <conditionalFormatting sqref="A323">
    <cfRule type="expression" dxfId="296" priority="232">
      <formula>$B323&lt;&gt;"Is another domestic provider required?"</formula>
    </cfRule>
  </conditionalFormatting>
  <conditionalFormatting sqref="B323">
    <cfRule type="expression" dxfId="295" priority="231">
      <formula>$B323="Please confirm that the details entered into the Entry Form are correct"</formula>
    </cfRule>
  </conditionalFormatting>
  <conditionalFormatting sqref="C323">
    <cfRule type="expression" dxfId="294" priority="230">
      <formula>$B323="Please confirm that the details entered into the Entry Form are correct"</formula>
    </cfRule>
  </conditionalFormatting>
  <conditionalFormatting sqref="B325:C325">
    <cfRule type="expression" dxfId="293" priority="235">
      <formula>$B325&lt;&gt;"Type provider name manually"</formula>
    </cfRule>
  </conditionalFormatting>
  <conditionalFormatting sqref="A322:A326">
    <cfRule type="expression" dxfId="292" priority="226">
      <formula>$B$1="Legal Services Expenditure Report 2020-21"</formula>
    </cfRule>
  </conditionalFormatting>
  <conditionalFormatting sqref="A327:C327">
    <cfRule type="expression" dxfId="291" priority="225">
      <formula>$B326&lt;&gt;"Total value of expenditure"</formula>
    </cfRule>
  </conditionalFormatting>
  <conditionalFormatting sqref="B328:C328">
    <cfRule type="expression" dxfId="290" priority="224">
      <formula>$B328=""</formula>
    </cfRule>
  </conditionalFormatting>
  <conditionalFormatting sqref="C329 A329">
    <cfRule type="expression" dxfId="289" priority="223">
      <formula>$B329&lt;&gt;"Choose provider from the list"</formula>
    </cfRule>
  </conditionalFormatting>
  <conditionalFormatting sqref="B329">
    <cfRule type="expression" dxfId="288" priority="222">
      <formula>$B329&lt;&gt;"Choose provider from the list"</formula>
    </cfRule>
  </conditionalFormatting>
  <conditionalFormatting sqref="A330:C330">
    <cfRule type="expression" dxfId="287" priority="213">
      <formula>$B329&lt;&gt;"Choose provider from the list"</formula>
    </cfRule>
  </conditionalFormatting>
  <conditionalFormatting sqref="B331">
    <cfRule type="expression" dxfId="286" priority="214">
      <formula>$B331="Please revise entries or contact OLSC for assistance"</formula>
    </cfRule>
    <cfRule type="expression" dxfId="285" priority="215">
      <formula>$B331="Entry Form complete - proceed to Summary sheet"</formula>
    </cfRule>
    <cfRule type="expression" dxfId="284" priority="220">
      <formula>$B331&lt;&gt;"Total value of expenditure"</formula>
    </cfRule>
  </conditionalFormatting>
  <conditionalFormatting sqref="C331 A331">
    <cfRule type="expression" dxfId="283" priority="219">
      <formula>$B331&lt;&gt;"Total value of expenditure"</formula>
    </cfRule>
  </conditionalFormatting>
  <conditionalFormatting sqref="A328">
    <cfRule type="expression" dxfId="282" priority="218">
      <formula>$B328&lt;&gt;"Is another domestic provider required?"</formula>
    </cfRule>
  </conditionalFormatting>
  <conditionalFormatting sqref="B328">
    <cfRule type="expression" dxfId="281" priority="217">
      <formula>$B328="Please confirm that the details entered into the Entry Form are correct"</formula>
    </cfRule>
  </conditionalFormatting>
  <conditionalFormatting sqref="C328">
    <cfRule type="expression" dxfId="280" priority="216">
      <formula>$B328="Please confirm that the details entered into the Entry Form are correct"</formula>
    </cfRule>
  </conditionalFormatting>
  <conditionalFormatting sqref="B330:C330">
    <cfRule type="expression" dxfId="279" priority="221">
      <formula>$B330&lt;&gt;"Type provider name manually"</formula>
    </cfRule>
  </conditionalFormatting>
  <conditionalFormatting sqref="A327:A331">
    <cfRule type="expression" dxfId="278" priority="212">
      <formula>$B$1="Legal Services Expenditure Report 2020-21"</formula>
    </cfRule>
  </conditionalFormatting>
  <conditionalFormatting sqref="A332:C332">
    <cfRule type="expression" dxfId="277" priority="211">
      <formula>$B331&lt;&gt;"Total value of expenditure"</formula>
    </cfRule>
  </conditionalFormatting>
  <conditionalFormatting sqref="B333:C333">
    <cfRule type="expression" dxfId="276" priority="210">
      <formula>$B333=""</formula>
    </cfRule>
  </conditionalFormatting>
  <conditionalFormatting sqref="C334 A334">
    <cfRule type="expression" dxfId="275" priority="209">
      <formula>$B334&lt;&gt;"Choose provider from the list"</formula>
    </cfRule>
  </conditionalFormatting>
  <conditionalFormatting sqref="B334">
    <cfRule type="expression" dxfId="274" priority="208">
      <formula>$B334&lt;&gt;"Choose provider from the list"</formula>
    </cfRule>
  </conditionalFormatting>
  <conditionalFormatting sqref="A335:C335">
    <cfRule type="expression" dxfId="273" priority="199">
      <formula>$B334&lt;&gt;"Choose provider from the list"</formula>
    </cfRule>
  </conditionalFormatting>
  <conditionalFormatting sqref="B336">
    <cfRule type="expression" dxfId="272" priority="200">
      <formula>$B336="Please revise entries or contact OLSC for assistance"</formula>
    </cfRule>
    <cfRule type="expression" dxfId="271" priority="201">
      <formula>$B336="Entry Form complete - proceed to Summary sheet"</formula>
    </cfRule>
    <cfRule type="expression" dxfId="270" priority="206">
      <formula>$B336&lt;&gt;"Total value of expenditure"</formula>
    </cfRule>
  </conditionalFormatting>
  <conditionalFormatting sqref="C336 A336">
    <cfRule type="expression" dxfId="269" priority="205">
      <formula>$B336&lt;&gt;"Total value of expenditure"</formula>
    </cfRule>
  </conditionalFormatting>
  <conditionalFormatting sqref="A333">
    <cfRule type="expression" dxfId="268" priority="204">
      <formula>$B333&lt;&gt;"Is another domestic provider required?"</formula>
    </cfRule>
  </conditionalFormatting>
  <conditionalFormatting sqref="B333">
    <cfRule type="expression" dxfId="267" priority="203">
      <formula>$B333="Please confirm that the details entered into the Entry Form are correct"</formula>
    </cfRule>
  </conditionalFormatting>
  <conditionalFormatting sqref="C333">
    <cfRule type="expression" dxfId="266" priority="202">
      <formula>$B333="Please confirm that the details entered into the Entry Form are correct"</formula>
    </cfRule>
  </conditionalFormatting>
  <conditionalFormatting sqref="B335:C335">
    <cfRule type="expression" dxfId="265" priority="207">
      <formula>$B335&lt;&gt;"Type provider name manually"</formula>
    </cfRule>
  </conditionalFormatting>
  <conditionalFormatting sqref="A332:A336">
    <cfRule type="expression" dxfId="264" priority="198">
      <formula>$B$1="Legal Services Expenditure Report 2020-21"</formula>
    </cfRule>
  </conditionalFormatting>
  <conditionalFormatting sqref="A337:C337">
    <cfRule type="expression" dxfId="263" priority="197">
      <formula>$B336&lt;&gt;"Total value of expenditure"</formula>
    </cfRule>
  </conditionalFormatting>
  <conditionalFormatting sqref="B338:C338">
    <cfRule type="expression" dxfId="262" priority="196">
      <formula>$B338=""</formula>
    </cfRule>
  </conditionalFormatting>
  <conditionalFormatting sqref="C339 A339">
    <cfRule type="expression" dxfId="261" priority="195">
      <formula>$B339&lt;&gt;"Choose provider from the list"</formula>
    </cfRule>
  </conditionalFormatting>
  <conditionalFormatting sqref="B339">
    <cfRule type="expression" dxfId="260" priority="194">
      <formula>$B339&lt;&gt;"Choose provider from the list"</formula>
    </cfRule>
  </conditionalFormatting>
  <conditionalFormatting sqref="A340:C340">
    <cfRule type="expression" dxfId="259" priority="185">
      <formula>$B339&lt;&gt;"Choose provider from the list"</formula>
    </cfRule>
  </conditionalFormatting>
  <conditionalFormatting sqref="B341">
    <cfRule type="expression" dxfId="258" priority="186">
      <formula>$B341="Please revise entries or contact OLSC for assistance"</formula>
    </cfRule>
    <cfRule type="expression" dxfId="257" priority="187">
      <formula>$B341="Entry Form complete - proceed to Summary sheet"</formula>
    </cfRule>
    <cfRule type="expression" dxfId="256" priority="192">
      <formula>$B341&lt;&gt;"Total value of expenditure"</formula>
    </cfRule>
  </conditionalFormatting>
  <conditionalFormatting sqref="C341 A341">
    <cfRule type="expression" dxfId="255" priority="191">
      <formula>$B341&lt;&gt;"Total value of expenditure"</formula>
    </cfRule>
  </conditionalFormatting>
  <conditionalFormatting sqref="A338">
    <cfRule type="expression" dxfId="254" priority="190">
      <formula>$B338&lt;&gt;"Is another domestic provider required?"</formula>
    </cfRule>
  </conditionalFormatting>
  <conditionalFormatting sqref="B338">
    <cfRule type="expression" dxfId="253" priority="189">
      <formula>$B338="Please confirm that the details entered into the Entry Form are correct"</formula>
    </cfRule>
  </conditionalFormatting>
  <conditionalFormatting sqref="C338">
    <cfRule type="expression" dxfId="252" priority="188">
      <formula>$B338="Please confirm that the details entered into the Entry Form are correct"</formula>
    </cfRule>
  </conditionalFormatting>
  <conditionalFormatting sqref="B340:C340">
    <cfRule type="expression" dxfId="251" priority="193">
      <formula>$B340&lt;&gt;"Type provider name manually"</formula>
    </cfRule>
  </conditionalFormatting>
  <conditionalFormatting sqref="A337:A341">
    <cfRule type="expression" dxfId="250" priority="184">
      <formula>$B$1="Legal Services Expenditure Report 2020-21"</formula>
    </cfRule>
  </conditionalFormatting>
  <conditionalFormatting sqref="A342:C342">
    <cfRule type="expression" dxfId="249" priority="183">
      <formula>$B341&lt;&gt;"Total value of expenditure"</formula>
    </cfRule>
  </conditionalFormatting>
  <conditionalFormatting sqref="B343:C343">
    <cfRule type="expression" dxfId="248" priority="182">
      <formula>$B343=""</formula>
    </cfRule>
  </conditionalFormatting>
  <conditionalFormatting sqref="C344 A344">
    <cfRule type="expression" dxfId="247" priority="181">
      <formula>$B344&lt;&gt;"Choose provider from the list"</formula>
    </cfRule>
  </conditionalFormatting>
  <conditionalFormatting sqref="B344">
    <cfRule type="expression" dxfId="246" priority="180">
      <formula>$B344&lt;&gt;"Choose provider from the list"</formula>
    </cfRule>
  </conditionalFormatting>
  <conditionalFormatting sqref="A345:C345">
    <cfRule type="expression" dxfId="245" priority="171">
      <formula>$B344&lt;&gt;"Choose provider from the list"</formula>
    </cfRule>
  </conditionalFormatting>
  <conditionalFormatting sqref="B346">
    <cfRule type="expression" dxfId="244" priority="172">
      <formula>$B346="Please revise entries or contact OLSC for assistance"</formula>
    </cfRule>
    <cfRule type="expression" dxfId="243" priority="173">
      <formula>$B346="Entry Form complete - proceed to Summary sheet"</formula>
    </cfRule>
    <cfRule type="expression" dxfId="242" priority="178">
      <formula>$B346&lt;&gt;"Total value of expenditure"</formula>
    </cfRule>
  </conditionalFormatting>
  <conditionalFormatting sqref="C346 A346">
    <cfRule type="expression" dxfId="241" priority="177">
      <formula>$B346&lt;&gt;"Total value of expenditure"</formula>
    </cfRule>
  </conditionalFormatting>
  <conditionalFormatting sqref="A343">
    <cfRule type="expression" dxfId="240" priority="176">
      <formula>$B343&lt;&gt;"Is another domestic provider required?"</formula>
    </cfRule>
  </conditionalFormatting>
  <conditionalFormatting sqref="B343">
    <cfRule type="expression" dxfId="239" priority="175">
      <formula>$B343="Please confirm that the details entered into the Entry Form are correct"</formula>
    </cfRule>
  </conditionalFormatting>
  <conditionalFormatting sqref="C343">
    <cfRule type="expression" dxfId="238" priority="174">
      <formula>$B343="Please confirm that the details entered into the Entry Form are correct"</formula>
    </cfRule>
  </conditionalFormatting>
  <conditionalFormatting sqref="B345:C345">
    <cfRule type="expression" dxfId="237" priority="179">
      <formula>$B345&lt;&gt;"Type provider name manually"</formula>
    </cfRule>
  </conditionalFormatting>
  <conditionalFormatting sqref="A342:A346">
    <cfRule type="expression" dxfId="236" priority="170">
      <formula>$B$1="Legal Services Expenditure Report 2020-21"</formula>
    </cfRule>
  </conditionalFormatting>
  <conditionalFormatting sqref="A347:C347">
    <cfRule type="expression" dxfId="235" priority="169">
      <formula>$B346&lt;&gt;"Total value of expenditure"</formula>
    </cfRule>
  </conditionalFormatting>
  <conditionalFormatting sqref="B348:C348">
    <cfRule type="expression" dxfId="234" priority="168">
      <formula>$B348=""</formula>
    </cfRule>
  </conditionalFormatting>
  <conditionalFormatting sqref="C349 A349">
    <cfRule type="expression" dxfId="233" priority="167">
      <formula>$B349&lt;&gt;"Choose provider from the list"</formula>
    </cfRule>
  </conditionalFormatting>
  <conditionalFormatting sqref="B349">
    <cfRule type="expression" dxfId="232" priority="166">
      <formula>$B349&lt;&gt;"Choose provider from the list"</formula>
    </cfRule>
  </conditionalFormatting>
  <conditionalFormatting sqref="A350:C350">
    <cfRule type="expression" dxfId="231" priority="157">
      <formula>$B349&lt;&gt;"Choose provider from the list"</formula>
    </cfRule>
  </conditionalFormatting>
  <conditionalFormatting sqref="B351">
    <cfRule type="expression" dxfId="230" priority="158">
      <formula>$B351="Please revise entries or contact OLSC for assistance"</formula>
    </cfRule>
    <cfRule type="expression" dxfId="229" priority="159">
      <formula>$B351="Entry Form complete - proceed to Summary sheet"</formula>
    </cfRule>
    <cfRule type="expression" dxfId="228" priority="164">
      <formula>$B351&lt;&gt;"Total value of expenditure"</formula>
    </cfRule>
  </conditionalFormatting>
  <conditionalFormatting sqref="C351 A351">
    <cfRule type="expression" dxfId="227" priority="163">
      <formula>$B351&lt;&gt;"Total value of expenditure"</formula>
    </cfRule>
  </conditionalFormatting>
  <conditionalFormatting sqref="A348">
    <cfRule type="expression" dxfId="226" priority="162">
      <formula>$B348&lt;&gt;"Is another domestic provider required?"</formula>
    </cfRule>
  </conditionalFormatting>
  <conditionalFormatting sqref="B348">
    <cfRule type="expression" dxfId="225" priority="161">
      <formula>$B348="Please confirm that the details entered into the Entry Form are correct"</formula>
    </cfRule>
  </conditionalFormatting>
  <conditionalFormatting sqref="C348">
    <cfRule type="expression" dxfId="224" priority="160">
      <formula>$B348="Please confirm that the details entered into the Entry Form are correct"</formula>
    </cfRule>
  </conditionalFormatting>
  <conditionalFormatting sqref="B350:C350">
    <cfRule type="expression" dxfId="223" priority="165">
      <formula>$B350&lt;&gt;"Type provider name manually"</formula>
    </cfRule>
  </conditionalFormatting>
  <conditionalFormatting sqref="A347:A351">
    <cfRule type="expression" dxfId="222" priority="156">
      <formula>$B$1="Legal Services Expenditure Report 2020-21"</formula>
    </cfRule>
  </conditionalFormatting>
  <conditionalFormatting sqref="A352:C352">
    <cfRule type="expression" dxfId="221" priority="155">
      <formula>$B351&lt;&gt;"Total value of expenditure"</formula>
    </cfRule>
  </conditionalFormatting>
  <conditionalFormatting sqref="B353:C353">
    <cfRule type="expression" dxfId="220" priority="154">
      <formula>$B353=""</formula>
    </cfRule>
  </conditionalFormatting>
  <conditionalFormatting sqref="C354 A354">
    <cfRule type="expression" dxfId="219" priority="153">
      <formula>$B354&lt;&gt;"Choose provider from the list"</formula>
    </cfRule>
  </conditionalFormatting>
  <conditionalFormatting sqref="B354">
    <cfRule type="expression" dxfId="218" priority="152">
      <formula>$B354&lt;&gt;"Choose provider from the list"</formula>
    </cfRule>
  </conditionalFormatting>
  <conditionalFormatting sqref="A355:C355">
    <cfRule type="expression" dxfId="217" priority="143">
      <formula>$B354&lt;&gt;"Choose provider from the list"</formula>
    </cfRule>
  </conditionalFormatting>
  <conditionalFormatting sqref="B356">
    <cfRule type="expression" dxfId="216" priority="144">
      <formula>$B356="Please revise entries or contact OLSC for assistance"</formula>
    </cfRule>
    <cfRule type="expression" dxfId="215" priority="145">
      <formula>$B356="Entry Form complete - proceed to Summary sheet"</formula>
    </cfRule>
    <cfRule type="expression" dxfId="214" priority="150">
      <formula>$B356&lt;&gt;"Total value of expenditure"</formula>
    </cfRule>
  </conditionalFormatting>
  <conditionalFormatting sqref="C356 A356">
    <cfRule type="expression" dxfId="213" priority="149">
      <formula>$B356&lt;&gt;"Total value of expenditure"</formula>
    </cfRule>
  </conditionalFormatting>
  <conditionalFormatting sqref="A353">
    <cfRule type="expression" dxfId="212" priority="148">
      <formula>$B353&lt;&gt;"Is another domestic provider required?"</formula>
    </cfRule>
  </conditionalFormatting>
  <conditionalFormatting sqref="B353">
    <cfRule type="expression" dxfId="211" priority="147">
      <formula>$B353="Please confirm that the details entered into the Entry Form are correct"</formula>
    </cfRule>
  </conditionalFormatting>
  <conditionalFormatting sqref="C353">
    <cfRule type="expression" dxfId="210" priority="146">
      <formula>$B353="Please confirm that the details entered into the Entry Form are correct"</formula>
    </cfRule>
  </conditionalFormatting>
  <conditionalFormatting sqref="B355:C355">
    <cfRule type="expression" dxfId="209" priority="151">
      <formula>$B355&lt;&gt;"Type provider name manually"</formula>
    </cfRule>
  </conditionalFormatting>
  <conditionalFormatting sqref="A352:A356">
    <cfRule type="expression" dxfId="208" priority="142">
      <formula>$B$1="Legal Services Expenditure Report 2020-21"</formula>
    </cfRule>
  </conditionalFormatting>
  <conditionalFormatting sqref="A357:C357">
    <cfRule type="expression" dxfId="207" priority="141">
      <formula>$B356&lt;&gt;"Total value of expenditure"</formula>
    </cfRule>
  </conditionalFormatting>
  <conditionalFormatting sqref="B358:C358">
    <cfRule type="expression" dxfId="206" priority="140">
      <formula>$B358=""</formula>
    </cfRule>
  </conditionalFormatting>
  <conditionalFormatting sqref="C359 A359">
    <cfRule type="expression" dxfId="205" priority="139">
      <formula>$B359&lt;&gt;"Choose provider from the list"</formula>
    </cfRule>
  </conditionalFormatting>
  <conditionalFormatting sqref="B359">
    <cfRule type="expression" dxfId="204" priority="138">
      <formula>$B359&lt;&gt;"Choose provider from the list"</formula>
    </cfRule>
  </conditionalFormatting>
  <conditionalFormatting sqref="A360:C360">
    <cfRule type="expression" dxfId="203" priority="129">
      <formula>$B359&lt;&gt;"Choose provider from the list"</formula>
    </cfRule>
  </conditionalFormatting>
  <conditionalFormatting sqref="B361">
    <cfRule type="expression" dxfId="202" priority="130">
      <formula>$B361="Please revise entries or contact OLSC for assistance"</formula>
    </cfRule>
    <cfRule type="expression" dxfId="201" priority="131">
      <formula>$B361="Entry Form complete - proceed to Summary sheet"</formula>
    </cfRule>
    <cfRule type="expression" dxfId="200" priority="136">
      <formula>$B361&lt;&gt;"Total value of expenditure"</formula>
    </cfRule>
  </conditionalFormatting>
  <conditionalFormatting sqref="C361 A361">
    <cfRule type="expression" dxfId="199" priority="135">
      <formula>$B361&lt;&gt;"Total value of expenditure"</formula>
    </cfRule>
  </conditionalFormatting>
  <conditionalFormatting sqref="A358">
    <cfRule type="expression" dxfId="198" priority="134">
      <formula>$B358&lt;&gt;"Is another domestic provider required?"</formula>
    </cfRule>
  </conditionalFormatting>
  <conditionalFormatting sqref="B358">
    <cfRule type="expression" dxfId="197" priority="133">
      <formula>$B358="Please confirm that the details entered into the Entry Form are correct"</formula>
    </cfRule>
  </conditionalFormatting>
  <conditionalFormatting sqref="C358">
    <cfRule type="expression" dxfId="196" priority="132">
      <formula>$B358="Please confirm that the details entered into the Entry Form are correct"</formula>
    </cfRule>
  </conditionalFormatting>
  <conditionalFormatting sqref="B360:C360">
    <cfRule type="expression" dxfId="195" priority="137">
      <formula>$B360&lt;&gt;"Type provider name manually"</formula>
    </cfRule>
  </conditionalFormatting>
  <conditionalFormatting sqref="A357:A361">
    <cfRule type="expression" dxfId="194" priority="128">
      <formula>$B$1="Legal Services Expenditure Report 2020-21"</formula>
    </cfRule>
  </conditionalFormatting>
  <conditionalFormatting sqref="A362:C362">
    <cfRule type="expression" dxfId="193" priority="127">
      <formula>$B361&lt;&gt;"Total value of expenditure"</formula>
    </cfRule>
  </conditionalFormatting>
  <conditionalFormatting sqref="B363:C363">
    <cfRule type="expression" dxfId="192" priority="126">
      <formula>$B363=""</formula>
    </cfRule>
  </conditionalFormatting>
  <conditionalFormatting sqref="C364 A364">
    <cfRule type="expression" dxfId="191" priority="125">
      <formula>$B364&lt;&gt;"Choose provider from the list"</formula>
    </cfRule>
  </conditionalFormatting>
  <conditionalFormatting sqref="B364">
    <cfRule type="expression" dxfId="190" priority="124">
      <formula>$B364&lt;&gt;"Choose provider from the list"</formula>
    </cfRule>
  </conditionalFormatting>
  <conditionalFormatting sqref="A365:C365">
    <cfRule type="expression" dxfId="189" priority="115">
      <formula>$B364&lt;&gt;"Choose provider from the list"</formula>
    </cfRule>
  </conditionalFormatting>
  <conditionalFormatting sqref="B366">
    <cfRule type="expression" dxfId="188" priority="116">
      <formula>$B366="Please revise entries or contact OLSC for assistance"</formula>
    </cfRule>
    <cfRule type="expression" dxfId="187" priority="117">
      <formula>$B366="Entry Form complete - proceed to Summary sheet"</formula>
    </cfRule>
    <cfRule type="expression" dxfId="186" priority="122">
      <formula>$B366&lt;&gt;"Total value of expenditure"</formula>
    </cfRule>
  </conditionalFormatting>
  <conditionalFormatting sqref="C366 A366">
    <cfRule type="expression" dxfId="185" priority="121">
      <formula>$B366&lt;&gt;"Total value of expenditure"</formula>
    </cfRule>
  </conditionalFormatting>
  <conditionalFormatting sqref="A363">
    <cfRule type="expression" dxfId="184" priority="120">
      <formula>$B363&lt;&gt;"Is another domestic provider required?"</formula>
    </cfRule>
  </conditionalFormatting>
  <conditionalFormatting sqref="B363">
    <cfRule type="expression" dxfId="183" priority="119">
      <formula>$B363="Please confirm that the details entered into the Entry Form are correct"</formula>
    </cfRule>
  </conditionalFormatting>
  <conditionalFormatting sqref="C363">
    <cfRule type="expression" dxfId="182" priority="118">
      <formula>$B363="Please confirm that the details entered into the Entry Form are correct"</formula>
    </cfRule>
  </conditionalFormatting>
  <conditionalFormatting sqref="B365:C365">
    <cfRule type="expression" dxfId="181" priority="123">
      <formula>$B365&lt;&gt;"Type provider name manually"</formula>
    </cfRule>
  </conditionalFormatting>
  <conditionalFormatting sqref="A362:A366">
    <cfRule type="expression" dxfId="180" priority="114">
      <formula>$B$1="Legal Services Expenditure Report 2020-21"</formula>
    </cfRule>
  </conditionalFormatting>
  <conditionalFormatting sqref="A367:C367">
    <cfRule type="expression" dxfId="179" priority="113">
      <formula>$B366&lt;&gt;"Total value of expenditure"</formula>
    </cfRule>
  </conditionalFormatting>
  <conditionalFormatting sqref="B368:C368">
    <cfRule type="expression" dxfId="178" priority="112">
      <formula>$B368=""</formula>
    </cfRule>
  </conditionalFormatting>
  <conditionalFormatting sqref="C369 A369">
    <cfRule type="expression" dxfId="177" priority="111">
      <formula>$B369&lt;&gt;"Choose provider from the list"</formula>
    </cfRule>
  </conditionalFormatting>
  <conditionalFormatting sqref="B369">
    <cfRule type="expression" dxfId="176" priority="110">
      <formula>$B369&lt;&gt;"Choose provider from the list"</formula>
    </cfRule>
  </conditionalFormatting>
  <conditionalFormatting sqref="A370:C370">
    <cfRule type="expression" dxfId="175" priority="101">
      <formula>$B369&lt;&gt;"Choose provider from the list"</formula>
    </cfRule>
  </conditionalFormatting>
  <conditionalFormatting sqref="B371">
    <cfRule type="expression" dxfId="174" priority="102">
      <formula>$B371="Please revise entries or contact OLSC for assistance"</formula>
    </cfRule>
    <cfRule type="expression" dxfId="173" priority="103">
      <formula>$B371="Entry Form complete - proceed to Summary sheet"</formula>
    </cfRule>
    <cfRule type="expression" dxfId="172" priority="108">
      <formula>$B371&lt;&gt;"Total value of expenditure"</formula>
    </cfRule>
  </conditionalFormatting>
  <conditionalFormatting sqref="C371 A371">
    <cfRule type="expression" dxfId="171" priority="107">
      <formula>$B371&lt;&gt;"Total value of expenditure"</formula>
    </cfRule>
  </conditionalFormatting>
  <conditionalFormatting sqref="A368">
    <cfRule type="expression" dxfId="170" priority="106">
      <formula>$B368&lt;&gt;"Is another domestic provider required?"</formula>
    </cfRule>
  </conditionalFormatting>
  <conditionalFormatting sqref="B368">
    <cfRule type="expression" dxfId="169" priority="105">
      <formula>$B368="Please confirm that the details entered into the Entry Form are correct"</formula>
    </cfRule>
  </conditionalFormatting>
  <conditionalFormatting sqref="C368">
    <cfRule type="expression" dxfId="168" priority="104">
      <formula>$B368="Please confirm that the details entered into the Entry Form are correct"</formula>
    </cfRule>
  </conditionalFormatting>
  <conditionalFormatting sqref="B370:C370">
    <cfRule type="expression" dxfId="167" priority="109">
      <formula>$B370&lt;&gt;"Type provider name manually"</formula>
    </cfRule>
  </conditionalFormatting>
  <conditionalFormatting sqref="A367:A371">
    <cfRule type="expression" dxfId="166" priority="100">
      <formula>$B$1="Legal Services Expenditure Report 2020-21"</formula>
    </cfRule>
  </conditionalFormatting>
  <conditionalFormatting sqref="A372:C372">
    <cfRule type="expression" dxfId="165" priority="99">
      <formula>$B371&lt;&gt;"Total value of expenditure"</formula>
    </cfRule>
  </conditionalFormatting>
  <conditionalFormatting sqref="B373:C373">
    <cfRule type="expression" dxfId="164" priority="98">
      <formula>$B373=""</formula>
    </cfRule>
  </conditionalFormatting>
  <conditionalFormatting sqref="C374 A374">
    <cfRule type="expression" dxfId="163" priority="97">
      <formula>$B374&lt;&gt;"Choose provider from the list"</formula>
    </cfRule>
  </conditionalFormatting>
  <conditionalFormatting sqref="B374">
    <cfRule type="expression" dxfId="162" priority="96">
      <formula>$B374&lt;&gt;"Choose provider from the list"</formula>
    </cfRule>
  </conditionalFormatting>
  <conditionalFormatting sqref="A375:C375">
    <cfRule type="expression" dxfId="161" priority="87">
      <formula>$B374&lt;&gt;"Choose provider from the list"</formula>
    </cfRule>
  </conditionalFormatting>
  <conditionalFormatting sqref="B376">
    <cfRule type="expression" dxfId="160" priority="88">
      <formula>$B376="Please revise entries or contact OLSC for assistance"</formula>
    </cfRule>
    <cfRule type="expression" dxfId="159" priority="89">
      <formula>$B376="Entry Form complete - proceed to Summary sheet"</formula>
    </cfRule>
    <cfRule type="expression" dxfId="158" priority="94">
      <formula>$B376&lt;&gt;"Total value of expenditure"</formula>
    </cfRule>
  </conditionalFormatting>
  <conditionalFormatting sqref="C376 A376">
    <cfRule type="expression" dxfId="157" priority="93">
      <formula>$B376&lt;&gt;"Total value of expenditure"</formula>
    </cfRule>
  </conditionalFormatting>
  <conditionalFormatting sqref="A373">
    <cfRule type="expression" dxfId="156" priority="92">
      <formula>$B373&lt;&gt;"Is another domestic provider required?"</formula>
    </cfRule>
  </conditionalFormatting>
  <conditionalFormatting sqref="B373">
    <cfRule type="expression" dxfId="155" priority="91">
      <formula>$B373="Please confirm that the details entered into the Entry Form are correct"</formula>
    </cfRule>
  </conditionalFormatting>
  <conditionalFormatting sqref="C373">
    <cfRule type="expression" dxfId="154" priority="90">
      <formula>$B373="Please confirm that the details entered into the Entry Form are correct"</formula>
    </cfRule>
  </conditionalFormatting>
  <conditionalFormatting sqref="B375:C375">
    <cfRule type="expression" dxfId="153" priority="95">
      <formula>$B375&lt;&gt;"Type provider name manually"</formula>
    </cfRule>
  </conditionalFormatting>
  <conditionalFormatting sqref="A372:A376">
    <cfRule type="expression" dxfId="152" priority="86">
      <formula>$B$1="Legal Services Expenditure Report 2020-21"</formula>
    </cfRule>
  </conditionalFormatting>
  <conditionalFormatting sqref="A377:C377">
    <cfRule type="expression" dxfId="151" priority="85">
      <formula>$B376&lt;&gt;"Total value of expenditure"</formula>
    </cfRule>
  </conditionalFormatting>
  <conditionalFormatting sqref="B378:C378">
    <cfRule type="expression" dxfId="150" priority="84">
      <formula>$B378=""</formula>
    </cfRule>
  </conditionalFormatting>
  <conditionalFormatting sqref="C379 A379">
    <cfRule type="expression" dxfId="149" priority="83">
      <formula>$B379&lt;&gt;"Choose provider from the list"</formula>
    </cfRule>
  </conditionalFormatting>
  <conditionalFormatting sqref="B379">
    <cfRule type="expression" dxfId="148" priority="82">
      <formula>$B379&lt;&gt;"Choose provider from the list"</formula>
    </cfRule>
  </conditionalFormatting>
  <conditionalFormatting sqref="A380:C380">
    <cfRule type="expression" dxfId="147" priority="73">
      <formula>$B379&lt;&gt;"Choose provider from the list"</formula>
    </cfRule>
  </conditionalFormatting>
  <conditionalFormatting sqref="B381">
    <cfRule type="expression" dxfId="146" priority="74">
      <formula>$B381="Please revise entries or contact OLSC for assistance"</formula>
    </cfRule>
    <cfRule type="expression" dxfId="145" priority="75">
      <formula>$B381="Entry Form complete - proceed to Summary sheet"</formula>
    </cfRule>
    <cfRule type="expression" dxfId="144" priority="80">
      <formula>$B381&lt;&gt;"Total value of expenditure"</formula>
    </cfRule>
  </conditionalFormatting>
  <conditionalFormatting sqref="C381 A381">
    <cfRule type="expression" dxfId="143" priority="79">
      <formula>$B381&lt;&gt;"Total value of expenditure"</formula>
    </cfRule>
  </conditionalFormatting>
  <conditionalFormatting sqref="A378">
    <cfRule type="expression" dxfId="142" priority="78">
      <formula>$B378&lt;&gt;"Is another domestic provider required?"</formula>
    </cfRule>
  </conditionalFormatting>
  <conditionalFormatting sqref="B378">
    <cfRule type="expression" dxfId="141" priority="77">
      <formula>$B378="Please confirm that the details entered into the Entry Form are correct"</formula>
    </cfRule>
  </conditionalFormatting>
  <conditionalFormatting sqref="C378">
    <cfRule type="expression" dxfId="140" priority="76">
      <formula>$B378="Please confirm that the details entered into the Entry Form are correct"</formula>
    </cfRule>
  </conditionalFormatting>
  <conditionalFormatting sqref="B380:C380">
    <cfRule type="expression" dxfId="139" priority="81">
      <formula>$B380&lt;&gt;"Type provider name manually"</formula>
    </cfRule>
  </conditionalFormatting>
  <conditionalFormatting sqref="A377:A381">
    <cfRule type="expression" dxfId="138" priority="72">
      <formula>$B$1="Legal Services Expenditure Report 2020-21"</formula>
    </cfRule>
  </conditionalFormatting>
  <conditionalFormatting sqref="A382:C382">
    <cfRule type="expression" dxfId="137" priority="71">
      <formula>$B381&lt;&gt;"Total value of expenditure"</formula>
    </cfRule>
  </conditionalFormatting>
  <conditionalFormatting sqref="B383:C383">
    <cfRule type="expression" dxfId="136" priority="70">
      <formula>$B383=""</formula>
    </cfRule>
  </conditionalFormatting>
  <conditionalFormatting sqref="C384 A384">
    <cfRule type="expression" dxfId="135" priority="69">
      <formula>$B384&lt;&gt;"Choose provider from the list"</formula>
    </cfRule>
  </conditionalFormatting>
  <conditionalFormatting sqref="B384">
    <cfRule type="expression" dxfId="134" priority="68">
      <formula>$B384&lt;&gt;"Choose provider from the list"</formula>
    </cfRule>
  </conditionalFormatting>
  <conditionalFormatting sqref="A385:C385">
    <cfRule type="expression" dxfId="133" priority="59">
      <formula>$B384&lt;&gt;"Choose provider from the list"</formula>
    </cfRule>
  </conditionalFormatting>
  <conditionalFormatting sqref="B386">
    <cfRule type="expression" dxfId="132" priority="60">
      <formula>$B386="Please revise entries or contact OLSC for assistance"</formula>
    </cfRule>
    <cfRule type="expression" dxfId="131" priority="61">
      <formula>$B386="Entry Form complete - proceed to Summary sheet"</formula>
    </cfRule>
    <cfRule type="expression" dxfId="130" priority="66">
      <formula>$B386&lt;&gt;"Total value of expenditure"</formula>
    </cfRule>
  </conditionalFormatting>
  <conditionalFormatting sqref="C386 A386">
    <cfRule type="expression" dxfId="129" priority="65">
      <formula>$B386&lt;&gt;"Total value of expenditure"</formula>
    </cfRule>
  </conditionalFormatting>
  <conditionalFormatting sqref="A383">
    <cfRule type="expression" dxfId="128" priority="64">
      <formula>$B383&lt;&gt;"Is another domestic provider required?"</formula>
    </cfRule>
  </conditionalFormatting>
  <conditionalFormatting sqref="B383">
    <cfRule type="expression" dxfId="127" priority="63">
      <formula>$B383="Please confirm that the details entered into the Entry Form are correct"</formula>
    </cfRule>
  </conditionalFormatting>
  <conditionalFormatting sqref="C383">
    <cfRule type="expression" dxfId="126" priority="62">
      <formula>$B383="Please confirm that the details entered into the Entry Form are correct"</formula>
    </cfRule>
  </conditionalFormatting>
  <conditionalFormatting sqref="B385:C385">
    <cfRule type="expression" dxfId="125" priority="67">
      <formula>$B385&lt;&gt;"Type provider name manually"</formula>
    </cfRule>
  </conditionalFormatting>
  <conditionalFormatting sqref="A382:A386">
    <cfRule type="expression" dxfId="124" priority="58">
      <formula>$B$1="Legal Services Expenditure Report 2020-21"</formula>
    </cfRule>
  </conditionalFormatting>
  <conditionalFormatting sqref="A387:C387">
    <cfRule type="expression" dxfId="123" priority="57">
      <formula>$B386&lt;&gt;"Total value of expenditure"</formula>
    </cfRule>
  </conditionalFormatting>
  <conditionalFormatting sqref="B388:C388">
    <cfRule type="expression" dxfId="122" priority="56">
      <formula>$B388=""</formula>
    </cfRule>
  </conditionalFormatting>
  <conditionalFormatting sqref="C389 A389">
    <cfRule type="expression" dxfId="121" priority="55">
      <formula>$B389&lt;&gt;"Choose provider from the list"</formula>
    </cfRule>
  </conditionalFormatting>
  <conditionalFormatting sqref="B389">
    <cfRule type="expression" dxfId="120" priority="54">
      <formula>$B389&lt;&gt;"Choose provider from the list"</formula>
    </cfRule>
  </conditionalFormatting>
  <conditionalFormatting sqref="A390:C390">
    <cfRule type="expression" dxfId="119" priority="45">
      <formula>$B389&lt;&gt;"Choose provider from the list"</formula>
    </cfRule>
  </conditionalFormatting>
  <conditionalFormatting sqref="B391">
    <cfRule type="expression" dxfId="118" priority="46">
      <formula>$B391="Please revise entries or contact OLSC for assistance"</formula>
    </cfRule>
    <cfRule type="expression" dxfId="117" priority="47">
      <formula>$B391="Entry Form complete - proceed to Summary sheet"</formula>
    </cfRule>
    <cfRule type="expression" dxfId="116" priority="52">
      <formula>$B391&lt;&gt;"Total value of expenditure"</formula>
    </cfRule>
  </conditionalFormatting>
  <conditionalFormatting sqref="C391 A391">
    <cfRule type="expression" dxfId="115" priority="51">
      <formula>$B391&lt;&gt;"Total value of expenditure"</formula>
    </cfRule>
  </conditionalFormatting>
  <conditionalFormatting sqref="A388">
    <cfRule type="expression" dxfId="114" priority="50">
      <formula>$B388&lt;&gt;"Is another domestic provider required?"</formula>
    </cfRule>
  </conditionalFormatting>
  <conditionalFormatting sqref="B388">
    <cfRule type="expression" dxfId="113" priority="49">
      <formula>$B388="Please confirm that the details entered into the Entry Form are correct"</formula>
    </cfRule>
  </conditionalFormatting>
  <conditionalFormatting sqref="C388">
    <cfRule type="expression" dxfId="112" priority="48">
      <formula>$B388="Please confirm that the details entered into the Entry Form are correct"</formula>
    </cfRule>
  </conditionalFormatting>
  <conditionalFormatting sqref="B390:C390">
    <cfRule type="expression" dxfId="111" priority="53">
      <formula>$B390&lt;&gt;"Type provider name manually"</formula>
    </cfRule>
  </conditionalFormatting>
  <conditionalFormatting sqref="A387:A391">
    <cfRule type="expression" dxfId="110" priority="44">
      <formula>$B$1="Legal Services Expenditure Report 2020-21"</formula>
    </cfRule>
  </conditionalFormatting>
  <conditionalFormatting sqref="A392:C392">
    <cfRule type="expression" dxfId="109" priority="43">
      <formula>$B391&lt;&gt;"Total value of expenditure"</formula>
    </cfRule>
  </conditionalFormatting>
  <conditionalFormatting sqref="B393:C393">
    <cfRule type="expression" dxfId="108" priority="42">
      <formula>$B393=""</formula>
    </cfRule>
  </conditionalFormatting>
  <conditionalFormatting sqref="C394 A394">
    <cfRule type="expression" dxfId="107" priority="41">
      <formula>$B394&lt;&gt;"Choose provider from the list"</formula>
    </cfRule>
  </conditionalFormatting>
  <conditionalFormatting sqref="B394">
    <cfRule type="expression" dxfId="106" priority="40">
      <formula>$B394&lt;&gt;"Choose provider from the list"</formula>
    </cfRule>
  </conditionalFormatting>
  <conditionalFormatting sqref="A395:C395">
    <cfRule type="expression" dxfId="105" priority="31">
      <formula>$B394&lt;&gt;"Choose provider from the list"</formula>
    </cfRule>
  </conditionalFormatting>
  <conditionalFormatting sqref="B396">
    <cfRule type="expression" dxfId="104" priority="32">
      <formula>$B396="Please revise entries or contact OLSC for assistance"</formula>
    </cfRule>
    <cfRule type="expression" dxfId="103" priority="33">
      <formula>$B396="Entry Form complete - proceed to Summary sheet"</formula>
    </cfRule>
    <cfRule type="expression" dxfId="102" priority="38">
      <formula>$B396&lt;&gt;"Total value of expenditure"</formula>
    </cfRule>
  </conditionalFormatting>
  <conditionalFormatting sqref="C396 A396">
    <cfRule type="expression" dxfId="101" priority="37">
      <formula>$B396&lt;&gt;"Total value of expenditure"</formula>
    </cfRule>
  </conditionalFormatting>
  <conditionalFormatting sqref="A393">
    <cfRule type="expression" dxfId="100" priority="36">
      <formula>$B393&lt;&gt;"Is another domestic provider required?"</formula>
    </cfRule>
  </conditionalFormatting>
  <conditionalFormatting sqref="B393">
    <cfRule type="expression" dxfId="99" priority="35">
      <formula>$B393="Please confirm that the details entered into the Entry Form are correct"</formula>
    </cfRule>
  </conditionalFormatting>
  <conditionalFormatting sqref="C393">
    <cfRule type="expression" dxfId="98" priority="34">
      <formula>$B393="Please confirm that the details entered into the Entry Form are correct"</formula>
    </cfRule>
  </conditionalFormatting>
  <conditionalFormatting sqref="B395:C395">
    <cfRule type="expression" dxfId="97" priority="39">
      <formula>$B395&lt;&gt;"Type provider name manually"</formula>
    </cfRule>
  </conditionalFormatting>
  <conditionalFormatting sqref="A392:A396">
    <cfRule type="expression" dxfId="96" priority="30">
      <formula>$B$1="Legal Services Expenditure Report 2020-21"</formula>
    </cfRule>
  </conditionalFormatting>
  <conditionalFormatting sqref="A397:C397">
    <cfRule type="expression" dxfId="95" priority="29">
      <formula>$B396&lt;&gt;"Total value of expenditure"</formula>
    </cfRule>
  </conditionalFormatting>
  <conditionalFormatting sqref="B398:C398">
    <cfRule type="expression" dxfId="94" priority="28">
      <formula>$B398=""</formula>
    </cfRule>
  </conditionalFormatting>
  <conditionalFormatting sqref="C399 A399">
    <cfRule type="expression" dxfId="93" priority="27">
      <formula>$B399&lt;&gt;"Choose provider from the list"</formula>
    </cfRule>
  </conditionalFormatting>
  <conditionalFormatting sqref="B399">
    <cfRule type="expression" dxfId="92" priority="26">
      <formula>$B399&lt;&gt;"Choose provider from the list"</formula>
    </cfRule>
  </conditionalFormatting>
  <conditionalFormatting sqref="A400:C400">
    <cfRule type="expression" dxfId="91" priority="17">
      <formula>$B399&lt;&gt;"Choose provider from the list"</formula>
    </cfRule>
  </conditionalFormatting>
  <conditionalFormatting sqref="B401">
    <cfRule type="expression" dxfId="90" priority="18">
      <formula>$B401="Please revise entries or contact OLSC for assistance"</formula>
    </cfRule>
    <cfRule type="expression" dxfId="89" priority="19">
      <formula>$B401="Entry Form complete - proceed to Summary sheet"</formula>
    </cfRule>
    <cfRule type="expression" dxfId="88" priority="24">
      <formula>$B401&lt;&gt;"Total value of expenditure"</formula>
    </cfRule>
  </conditionalFormatting>
  <conditionalFormatting sqref="C401 A401">
    <cfRule type="expression" dxfId="87" priority="23">
      <formula>$B401&lt;&gt;"Total value of expenditure"</formula>
    </cfRule>
  </conditionalFormatting>
  <conditionalFormatting sqref="A398">
    <cfRule type="expression" dxfId="86" priority="22">
      <formula>$B398&lt;&gt;"Is another domestic provider required?"</formula>
    </cfRule>
  </conditionalFormatting>
  <conditionalFormatting sqref="B398">
    <cfRule type="expression" dxfId="85" priority="21">
      <formula>$B398="Please confirm that the details entered into the Entry Form are correct"</formula>
    </cfRule>
  </conditionalFormatting>
  <conditionalFormatting sqref="C398">
    <cfRule type="expression" dxfId="84" priority="20">
      <formula>$B398="Please confirm that the details entered into the Entry Form are correct"</formula>
    </cfRule>
  </conditionalFormatting>
  <conditionalFormatting sqref="B400:C400">
    <cfRule type="expression" dxfId="83" priority="25">
      <formula>$B400&lt;&gt;"Type provider name manually"</formula>
    </cfRule>
  </conditionalFormatting>
  <conditionalFormatting sqref="A397:A401">
    <cfRule type="expression" dxfId="82" priority="16">
      <formula>$B$1="Legal Services Expenditure Report 2020-21"</formula>
    </cfRule>
  </conditionalFormatting>
  <conditionalFormatting sqref="A402:C402">
    <cfRule type="expression" dxfId="81" priority="15">
      <formula>$B401&lt;&gt;"Total value of expenditure"</formula>
    </cfRule>
  </conditionalFormatting>
  <conditionalFormatting sqref="B403:C403">
    <cfRule type="expression" dxfId="80" priority="14">
      <formula>$B403=""</formula>
    </cfRule>
  </conditionalFormatting>
  <conditionalFormatting sqref="C404 A404">
    <cfRule type="expression" dxfId="79" priority="13">
      <formula>$B404&lt;&gt;"Choose provider from the list"</formula>
    </cfRule>
  </conditionalFormatting>
  <conditionalFormatting sqref="B404">
    <cfRule type="expression" dxfId="78" priority="12">
      <formula>$B404&lt;&gt;"Choose provider from the list"</formula>
    </cfRule>
  </conditionalFormatting>
  <conditionalFormatting sqref="A405:C405">
    <cfRule type="expression" dxfId="77" priority="3">
      <formula>$B404&lt;&gt;"Choose provider from the list"</formula>
    </cfRule>
  </conditionalFormatting>
  <conditionalFormatting sqref="B406">
    <cfRule type="expression" dxfId="76" priority="4">
      <formula>$B406="Please revise entries or contact OLSC for assistance"</formula>
    </cfRule>
    <cfRule type="expression" dxfId="75" priority="5">
      <formula>$B406="Entry Form complete - proceed to Summary sheet"</formula>
    </cfRule>
    <cfRule type="expression" dxfId="74" priority="10">
      <formula>$B406&lt;&gt;"Total value of expenditure"</formula>
    </cfRule>
  </conditionalFormatting>
  <conditionalFormatting sqref="C406 A406">
    <cfRule type="expression" dxfId="73" priority="9">
      <formula>$B406&lt;&gt;"Total value of expenditure"</formula>
    </cfRule>
  </conditionalFormatting>
  <conditionalFormatting sqref="A403">
    <cfRule type="expression" dxfId="72" priority="8">
      <formula>$B403&lt;&gt;"Is another domestic provider required?"</formula>
    </cfRule>
  </conditionalFormatting>
  <conditionalFormatting sqref="B403">
    <cfRule type="expression" dxfId="71" priority="7">
      <formula>$B403="Please confirm that the details entered into the Entry Form are correct"</formula>
    </cfRule>
  </conditionalFormatting>
  <conditionalFormatting sqref="C403">
    <cfRule type="expression" dxfId="70" priority="6">
      <formula>$B403="Please confirm that the details entered into the Entry Form are correct"</formula>
    </cfRule>
  </conditionalFormatting>
  <conditionalFormatting sqref="B405:C405">
    <cfRule type="expression" dxfId="69" priority="11">
      <formula>$B405&lt;&gt;"Type provider name manually"</formula>
    </cfRule>
  </conditionalFormatting>
  <conditionalFormatting sqref="A402:A406">
    <cfRule type="expression" dxfId="68" priority="2">
      <formula>$B$1="Legal Services Expenditure Report 2020-21"</formula>
    </cfRule>
  </conditionalFormatting>
  <dataValidations count="2">
    <dataValidation type="list" allowBlank="1" showInputMessage="1" showErrorMessage="1" sqref="C6" xr:uid="{00000000-0002-0000-0000-000000000000}">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xr:uid="{00000000-0002-0000-0000-000001000000}">
      <formula1>INDIRECT(E9)</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extLst>
    <ext xmlns:x14="http://schemas.microsoft.com/office/spreadsheetml/2009/9/main" uri="{78C0D931-6437-407d-A8EE-F0AAD7539E65}">
      <x14:conditionalFormattings>
        <x14:conditionalFormatting xmlns:xm="http://schemas.microsoft.com/office/excel/2006/main">
          <x14:cfRule type="expression" priority="1" id="{40F8F69B-8F6F-4C99-B94C-4008AEC6D2F0}">
            <xm:f>'[Copy of OLSC - Legal Services Expenditure Report - LSER - Entity Template V.2  2022-23.XLSX]Entry Form'!#REF!&lt;&gt;"Entry form complete"</xm:f>
            <x14:dxf>
              <font>
                <color theme="0" tint="-0.24994659260841701"/>
              </font>
              <fill>
                <patternFill patternType="solid">
                  <fgColor theme="0"/>
                  <bgColor theme="0" tint="-0.24994659260841701"/>
                </patternFill>
              </fill>
              <border>
                <left/>
                <top/>
                <bottom/>
              </border>
            </x14:dxf>
          </x14:cfRule>
          <xm:sqref>C34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0"/>
  <sheetViews>
    <sheetView showGridLines="0" zoomScale="82" zoomScaleNormal="82" workbookViewId="0">
      <selection activeCell="C53" sqref="C53"/>
    </sheetView>
  </sheetViews>
  <sheetFormatPr defaultColWidth="23.453125" defaultRowHeight="24.5" x14ac:dyDescent="0.45"/>
  <cols>
    <col min="1" max="1" width="33.7265625" style="124" customWidth="1"/>
    <col min="2" max="2" width="100.7265625" style="124" customWidth="1"/>
    <col min="3" max="3" width="33.7265625" style="124" customWidth="1"/>
    <col min="4" max="4" width="10.54296875" style="123" customWidth="1"/>
    <col min="5" max="5" width="0.54296875" style="124" hidden="1" customWidth="1"/>
    <col min="6" max="16384" width="23.453125" style="124"/>
  </cols>
  <sheetData>
    <row r="1" spans="1:3" ht="41.25" customHeight="1" x14ac:dyDescent="0.55000000000000004">
      <c r="A1" s="120"/>
      <c r="B1" s="121" t="s">
        <v>731</v>
      </c>
      <c r="C1" s="122"/>
    </row>
    <row r="2" spans="1:3" ht="17.25" customHeight="1" x14ac:dyDescent="0.45">
      <c r="A2" s="212"/>
      <c r="B2" s="125"/>
      <c r="C2" s="126"/>
    </row>
    <row r="3" spans="1:3" ht="66.75" customHeight="1" x14ac:dyDescent="0.45">
      <c r="A3" s="213"/>
      <c r="B3" s="127" t="str">
        <f>Text!B167</f>
        <v xml:space="preserve">
The Summary sheet is only visible once you have confirmed that the Entry form is complete following inclusion of the last domestic legal services provider in section 5c.
</v>
      </c>
      <c r="C3" s="128"/>
    </row>
    <row r="4" spans="1:3" ht="18.75" customHeight="1" x14ac:dyDescent="0.45">
      <c r="A4" s="213"/>
      <c r="B4" s="129"/>
      <c r="C4" s="128"/>
    </row>
    <row r="5" spans="1:3" x14ac:dyDescent="0.45">
      <c r="A5" s="213"/>
      <c r="B5" s="130" t="str">
        <f>IF('Entry Form'!$B$407&lt;&gt;"Entry form complete","",'Entry Form'!C6)</f>
        <v>Australian Criminal Intelligence Commission</v>
      </c>
      <c r="C5" s="128"/>
    </row>
    <row r="6" spans="1:3" x14ac:dyDescent="0.45">
      <c r="A6" s="213"/>
      <c r="B6" s="130" t="str">
        <f>IF('Entry Form'!$B$407&lt;&gt;"Entry form complete","",'Entry Form'!C7)</f>
        <v>11 259 448 410</v>
      </c>
      <c r="C6" s="128"/>
    </row>
    <row r="7" spans="1:3" ht="18.75" customHeight="1" x14ac:dyDescent="0.45">
      <c r="A7" s="213"/>
      <c r="B7" s="131"/>
      <c r="C7" s="128"/>
    </row>
    <row r="8" spans="1:3" ht="25" thickBot="1" x14ac:dyDescent="0.5">
      <c r="A8" s="214"/>
      <c r="B8" s="132" t="str">
        <f>IF('Entry Form'!$B$407="Entry form complete","Summary Totals (explainer)","")</f>
        <v>Summary Totals (explainer)</v>
      </c>
      <c r="C8" s="133"/>
    </row>
    <row r="9" spans="1:3" ht="61.5" customHeight="1" thickTop="1" x14ac:dyDescent="0.45">
      <c r="A9" s="215" t="str">
        <f>IF('Entry Form'!$B$407="Entry form complete",Text!A169,"")</f>
        <v>What is this section?</v>
      </c>
      <c r="B9" s="135" t="str">
        <f>IF('Entry Form'!$B$407="Entry form complete",Text!B169,"")</f>
        <v xml:space="preserve">
In this section you are required to review and confirm the summary totals for your entity's 2022-23 Legal Services Expenditure Report based on what you entered in the Entry form sheet.
</v>
      </c>
      <c r="C9" s="136"/>
    </row>
    <row r="10" spans="1:3" ht="81" customHeight="1" x14ac:dyDescent="0.45">
      <c r="A10" s="215" t="str">
        <f>IF('Entry Form'!$B$407="Entry form complete",Text!A170,"")</f>
        <v>What are the summary totals?</v>
      </c>
      <c r="B10" s="135"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136"/>
    </row>
    <row r="11" spans="1:3" ht="78.75" customHeight="1" x14ac:dyDescent="0.45">
      <c r="A11" s="215" t="str">
        <f>IF('Entry Form'!$B$407="Entry form complete",Text!A171,"")</f>
        <v>Expenditure comparison</v>
      </c>
      <c r="B11" s="135" t="str">
        <f>IF('Entry Form'!$B$407="Entry form complete",Text!B171,"")</f>
        <v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v>
      </c>
      <c r="C11" s="136"/>
    </row>
    <row r="12" spans="1:3" ht="78.75" customHeight="1" x14ac:dyDescent="0.45">
      <c r="A12" s="215" t="str">
        <f>IF('Entry Form'!$B$407="Entry form complete",Text!A172,"")</f>
        <v xml:space="preserve">
Do I need to provide commentary?
</v>
      </c>
      <c r="B12" s="135" t="str">
        <f>IF('Entry Form'!$B$407="Entry form complete",Text!B172,"")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12" s="136"/>
    </row>
    <row r="13" spans="1:3" ht="80.25" customHeight="1" x14ac:dyDescent="0.45">
      <c r="A13" s="215" t="str">
        <f>IF('Entry Form'!$B$407="Entry form complete",Text!A173,"")</f>
        <v>Explaining a significant change in expenditure</v>
      </c>
      <c r="B13" s="135" t="str">
        <f>IF('Entry Form'!$B$407="Entry form complete",Text!B173,"")</f>
        <v xml:space="preserve">
Only a brief description of the reason or reasons for the increase/decrease is required. It is not necessary to go into the specifics of a matter. Any commentary provided will not be made public or shared with other entities.
</v>
      </c>
      <c r="C13" s="136"/>
    </row>
    <row r="14" spans="1:3" ht="18.75" customHeight="1" x14ac:dyDescent="0.45">
      <c r="A14" s="216"/>
      <c r="B14" s="137"/>
      <c r="C14" s="138"/>
    </row>
    <row r="15" spans="1:3" ht="37.5" customHeight="1" thickBot="1" x14ac:dyDescent="0.5">
      <c r="A15" s="214"/>
      <c r="B15" s="132" t="str">
        <f>IF('Entry Form'!$B$407="Entry form complete","Summary Totals","")</f>
        <v>Summary Totals</v>
      </c>
      <c r="C15" s="133"/>
    </row>
    <row r="16" spans="1:3" ht="25" thickTop="1" x14ac:dyDescent="0.45">
      <c r="A16" s="217"/>
      <c r="B16" s="243" t="str">
        <f>IF('Entry Form'!$B$407="Entry form complete","Total Legal Services Expenditure","")</f>
        <v>Total Legal Services Expenditure</v>
      </c>
      <c r="C16" s="140">
        <f>IF('Entry Form'!$B$407&lt;&gt;"Entry form complete","",$C$17+$C$18)</f>
        <v>7257778</v>
      </c>
    </row>
    <row r="17" spans="1:5" x14ac:dyDescent="0.45">
      <c r="A17" s="217"/>
      <c r="B17" s="243" t="str">
        <f>IF('Entry Form'!$B$407="Entry form complete","Total Internal Legal Services Expenditure","")</f>
        <v>Total Internal Legal Services Expenditure</v>
      </c>
      <c r="C17" s="140">
        <f>IF('Entry Form'!$B$407&lt;&gt;"Entry form complete","",'Entry Form'!$C$34)</f>
        <v>5644130</v>
      </c>
    </row>
    <row r="18" spans="1:5" x14ac:dyDescent="0.45">
      <c r="A18" s="217"/>
      <c r="B18" s="243" t="str">
        <f>IF('Entry Form'!$B$407="Entry form complete","Total External Legal Services Expenditure","")</f>
        <v>Total External Legal Services Expenditure</v>
      </c>
      <c r="C18" s="140">
        <f>IF('Entry Form'!$B$407&lt;&gt;"Entry form complete","",SUM(externalsum))</f>
        <v>1613648</v>
      </c>
    </row>
    <row r="19" spans="1:5" x14ac:dyDescent="0.45">
      <c r="A19" s="217"/>
      <c r="B19" s="243" t="str">
        <f>IF('Entry Form'!$B$407="Entry form complete","Total value of briefs to Counsel","")</f>
        <v>Total value of briefs to Counsel</v>
      </c>
      <c r="C19" s="140">
        <f>IF('Entry Form'!$B$407&lt;&gt;"Entry form complete","",SUM(counselsum))</f>
        <v>460862</v>
      </c>
    </row>
    <row r="20" spans="1:5" x14ac:dyDescent="0.45">
      <c r="A20" s="217"/>
      <c r="B20" s="243" t="str">
        <f>IF('Entry Form'!$B$407="Entry form complete","Total value of briefs to Male Counsel","")</f>
        <v>Total value of briefs to Male Counsel</v>
      </c>
      <c r="C20" s="140">
        <f>IF('Entry Form'!$B$407&lt;&gt;"Entry form complete","",SUM(malesum))</f>
        <v>132653</v>
      </c>
    </row>
    <row r="21" spans="1:5" x14ac:dyDescent="0.45">
      <c r="A21" s="217"/>
      <c r="B21" s="243" t="str">
        <f>IF('Entry Form'!$B$407="Entry form complete","Total value of briefs to Female Counsel","")</f>
        <v>Total value of briefs to Female Counsel</v>
      </c>
      <c r="C21" s="140">
        <f>IF('Entry Form'!$B$407&lt;&gt;"Entry form complete","",SUM(femalesum))</f>
        <v>328209</v>
      </c>
    </row>
    <row r="22" spans="1:5" x14ac:dyDescent="0.45">
      <c r="A22" s="217"/>
      <c r="B22" s="243" t="str">
        <f>IF('Entry Form'!$B$407="Entry form complete","Total value of briefs to gender X Counsel","")</f>
        <v>Total value of briefs to gender X Counsel</v>
      </c>
      <c r="C22" s="140">
        <f>IF('Entry Form'!$B$407&lt;&gt;"Entry form complete","",SUM(xsum))</f>
        <v>0</v>
      </c>
    </row>
    <row r="23" spans="1:5" x14ac:dyDescent="0.45">
      <c r="A23" s="217"/>
      <c r="B23" s="243" t="str">
        <f>IF('Entry Form'!$B$407="Entry form complete","Total value of disbursements (excluding counsel)","")</f>
        <v>Total value of disbursements (excluding counsel)</v>
      </c>
      <c r="C23" s="140">
        <f>IF('Entry Form'!$B$407&lt;&gt;"Entry form complete","",'Entry Form'!$C$104)</f>
        <v>29069</v>
      </c>
    </row>
    <row r="24" spans="1:5" x14ac:dyDescent="0.45">
      <c r="A24" s="217"/>
      <c r="B24" s="243" t="str">
        <f>IF('Entry Form'!$B$407="Entry form complete","Total value of professional fees","")</f>
        <v>Total value of professional fees</v>
      </c>
      <c r="C24" s="140">
        <f>IF('Entry Form'!$B$407&lt;&gt;"Entry form complete","",SUM(profees))</f>
        <v>1123717</v>
      </c>
    </row>
    <row r="25" spans="1:5" x14ac:dyDescent="0.45">
      <c r="A25" s="217"/>
      <c r="B25" s="243" t="str">
        <f>IF('Entry Form'!$B$407="Entry form complete","Total value of professional fees - 10% off-Panel allowance","")</f>
        <v>Total value of professional fees - 10% off-Panel allowance</v>
      </c>
      <c r="C25" s="140">
        <f>IF('Entry Form'!$B$407&lt;&gt;"Entry form complete","",'Entry Form'!$C$128)</f>
        <v>0</v>
      </c>
    </row>
    <row r="26" spans="1:5" ht="27" customHeight="1" x14ac:dyDescent="0.45">
      <c r="A26" s="217"/>
      <c r="B26" s="243" t="str">
        <f>IF('Entry Form'!$B$407="Entry form complete","Total value of professional fees - Exemption from AGD","")</f>
        <v>Total value of professional fees - Exemption from AGD</v>
      </c>
      <c r="C26" s="140">
        <f>IF('Entry Form'!$B$407&lt;&gt;"Entry form complete","",'Entry Form'!$C$129)</f>
        <v>0</v>
      </c>
    </row>
    <row r="27" spans="1:5" x14ac:dyDescent="0.45">
      <c r="A27" s="217"/>
      <c r="B27" s="243" t="str">
        <f>IF('Entry Form'!$B$407="Entry form complete","Total number of briefs to counsel","")</f>
        <v>Total number of briefs to counsel</v>
      </c>
      <c r="C27" s="141">
        <f>IF('Entry Form'!$B$407&lt;&gt;"Entry form complete","",SUM(counselnumbers))</f>
        <v>41</v>
      </c>
    </row>
    <row r="28" spans="1:5" ht="25" thickBot="1" x14ac:dyDescent="0.5">
      <c r="A28" s="217"/>
      <c r="B28" s="142"/>
      <c r="C28" s="138"/>
    </row>
    <row r="29" spans="1:5" ht="25.5" thickTop="1" thickBot="1" x14ac:dyDescent="0.5">
      <c r="A29" s="217"/>
      <c r="B29" s="236" t="str">
        <f>IF('Entry Form'!$B$407="Entry form complete","Are the Summary Totals correct?","")</f>
        <v>Are the Summary Totals correct?</v>
      </c>
      <c r="C29" s="118" t="s">
        <v>141</v>
      </c>
      <c r="D29" s="123" t="str">
        <f>IF(AND('Entry Form'!B407="Entry Form complete",C29=""),"E","")</f>
        <v/>
      </c>
      <c r="E29" s="144" t="str">
        <f>IF(B29="Are the Summary Totals correct?","E","")</f>
        <v>E</v>
      </c>
    </row>
    <row r="30" spans="1:5" ht="25.5" thickTop="1" thickBot="1" x14ac:dyDescent="0.5">
      <c r="A30" s="218"/>
      <c r="B30" s="145"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146"/>
    </row>
    <row r="31" spans="1:5" ht="36" customHeight="1" thickTop="1" thickBot="1" x14ac:dyDescent="0.5">
      <c r="A31" s="219"/>
      <c r="B31" s="147" t="str">
        <f>IF($B$30="Proceed to commentary","Comparison with 2020-21","")</f>
        <v>Comparison with 2020-21</v>
      </c>
      <c r="C31" s="148"/>
    </row>
    <row r="32" spans="1:5" ht="21" customHeight="1" thickTop="1" x14ac:dyDescent="0.45">
      <c r="A32" s="217"/>
      <c r="B32" s="139"/>
      <c r="C32" s="138"/>
    </row>
    <row r="33" spans="1:5" x14ac:dyDescent="0.45">
      <c r="A33" s="217"/>
      <c r="B33" s="241" t="str">
        <f>IF($B$30="Proceed to commentary","Total Legal Services Expenditure (2022-23)","")</f>
        <v>Total Legal Services Expenditure (2022-23)</v>
      </c>
      <c r="C33" s="149">
        <f>IF($B$30&lt;&gt;"Proceed to commentary","",$C$16)</f>
        <v>7257778</v>
      </c>
    </row>
    <row r="34" spans="1:5" x14ac:dyDescent="0.45">
      <c r="A34" s="217"/>
      <c r="B34" s="241" t="str">
        <f>IF($B$30="Proceed to commentary","Total Legal Services Expenditure (2021-22)","")</f>
        <v>Total Legal Services Expenditure (2021-22)</v>
      </c>
      <c r="C34" s="149">
        <f>IF($B$30&lt;&gt;"Proceed to commentary","",IF(ISNUMBER(MATCH($B$5,agencyname,0)),INDEX(total,MATCH($B$5,agencyname,0)),"N/A"))</f>
        <v>5481018</v>
      </c>
    </row>
    <row r="35" spans="1:5" ht="13.5" customHeight="1" x14ac:dyDescent="0.45">
      <c r="A35" s="217"/>
      <c r="B35" s="139"/>
      <c r="C35" s="150"/>
    </row>
    <row r="36" spans="1:5" x14ac:dyDescent="0.45">
      <c r="A36" s="217"/>
      <c r="B36" s="242" t="str">
        <f>IF($B$30="Proceed to commentary","Total expenditure change","")</f>
        <v>Total expenditure change</v>
      </c>
      <c r="C36" s="151">
        <f>IFERROR(IF($B$30&lt;&gt;"Proceed to commentary","",IF($C$34="N/A","N/A",$C$16-$C$34)),"")</f>
        <v>1776760</v>
      </c>
    </row>
    <row r="37" spans="1:5" x14ac:dyDescent="0.45">
      <c r="A37" s="217"/>
      <c r="B37" s="242" t="str">
        <f>IF($B$30="Proceed to commentary","Internal expenditure change","")</f>
        <v>Internal expenditure change</v>
      </c>
      <c r="C37" s="151">
        <f>IF($B$30&lt;&gt;"Proceed to commentary","",IF($C$34="N/A","N/A",IF(ISNUMBER(MATCH($B$5,agencyname,0)),$C$17-INDEX(internal,MATCH($B$5,agencyname,0)),"N/A")))</f>
        <v>1213940</v>
      </c>
    </row>
    <row r="38" spans="1:5" x14ac:dyDescent="0.45">
      <c r="A38" s="217"/>
      <c r="B38" s="242" t="str">
        <f>IF($B$30="Proceed to commentary","External expenditure change","")</f>
        <v>External expenditure change</v>
      </c>
      <c r="C38" s="151">
        <f>IF($B$30&lt;&gt;"Proceed to commentary","",IF($C$34="N/A","N/A",IF(ISNUMBER(MATCH($B$5,agencyname,0)),$C$18-INDEX(external,MATCH($B$5,agencyname,0)),"N/A")))</f>
        <v>562820</v>
      </c>
    </row>
    <row r="39" spans="1:5" ht="18.75" customHeight="1" thickBot="1" x14ac:dyDescent="0.5">
      <c r="A39" s="217"/>
      <c r="B39" s="142"/>
      <c r="C39" s="138"/>
    </row>
    <row r="40" spans="1:5" ht="25.5" thickTop="1" thickBot="1" x14ac:dyDescent="0.5">
      <c r="A40" s="218"/>
      <c r="B40" s="145"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REQUIRED</v>
      </c>
      <c r="C40" s="146"/>
    </row>
    <row r="41" spans="1:5" ht="18.75" customHeight="1" thickTop="1" x14ac:dyDescent="0.45">
      <c r="A41" s="217"/>
      <c r="B41" s="142"/>
      <c r="C41" s="138"/>
    </row>
    <row r="42" spans="1:5" ht="71.25" customHeight="1" x14ac:dyDescent="0.45">
      <c r="A42" s="215" t="str">
        <f>IF($B$30="Proceed to commentary",A12,"")</f>
        <v xml:space="preserve">
Do I need to provide commentary?
</v>
      </c>
      <c r="B42" s="135" t="str">
        <f>IF($B$30="Proceed to commentary",B12,"")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42" s="136"/>
    </row>
    <row r="43" spans="1:5" ht="56.25" customHeight="1" x14ac:dyDescent="0.45">
      <c r="A43" s="215" t="str">
        <f>IF($B$30="Proceed to commentary",A13,"")</f>
        <v>Explaining a significant change in expenditure</v>
      </c>
      <c r="B43" s="135" t="str">
        <f>IF($B$30="Proceed to commentary",B13,"")</f>
        <v xml:space="preserve">
Only a brief description of the reason or reasons for the increase/decrease is required. It is not necessary to go into the specifics of a matter. Any commentary provided will not be made public or shared with other entities.
</v>
      </c>
      <c r="C43" s="136"/>
    </row>
    <row r="44" spans="1:5" ht="33" customHeight="1" x14ac:dyDescent="0.45">
      <c r="A44" s="220"/>
      <c r="B44" s="152" t="str">
        <f>IF($B$30&lt;&gt;"Proceed to commentary","","Please enter commentary below")</f>
        <v>Please enter commentary below</v>
      </c>
      <c r="C44" s="153"/>
    </row>
    <row r="45" spans="1:5" ht="143.25" customHeight="1" x14ac:dyDescent="0.45">
      <c r="A45" s="221"/>
      <c r="B45" s="119" t="s">
        <v>826</v>
      </c>
      <c r="C45" s="155" t="str">
        <f>IF(B30&lt;&gt;"Proceed to commentary","",IF(AND(B40="Commentary REQUIRED",B45=""),"E",""))</f>
        <v/>
      </c>
    </row>
    <row r="46" spans="1:5" ht="21.75" customHeight="1" thickBot="1" x14ac:dyDescent="0.5">
      <c r="A46" s="221"/>
      <c r="B46" s="156"/>
      <c r="C46" s="136"/>
    </row>
    <row r="47" spans="1:5" ht="25.5" thickTop="1" thickBot="1" x14ac:dyDescent="0.5">
      <c r="A47" s="221"/>
      <c r="B47" s="236" t="str">
        <f>IF('Entry Form'!$B$407="Entry form complete","Have you finished entering commentary?","")</f>
        <v>Have you finished entering commentary?</v>
      </c>
      <c r="C47" s="118" t="s">
        <v>141</v>
      </c>
      <c r="D47" s="123" t="str">
        <f>IF(B30&lt;&gt;"Proceed to commentary","",IF(OR(AND(B40="Commentary REQUIRED",C45&lt;&gt;"E",C47=""),AND(B40="Commentary OPTIONAL",C47="")),"E",""))</f>
        <v/>
      </c>
      <c r="E47" s="144" t="str">
        <f>IF(B47="Have you finished entering commentary?","E","")</f>
        <v>E</v>
      </c>
    </row>
    <row r="48" spans="1:5" ht="25.5" thickTop="1" thickBot="1" x14ac:dyDescent="0.5">
      <c r="A48" s="218"/>
      <c r="B48" s="145"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146"/>
    </row>
    <row r="49" spans="1:5" ht="25" thickTop="1" x14ac:dyDescent="0.45">
      <c r="A49" s="217"/>
      <c r="B49" s="142"/>
      <c r="C49" s="138"/>
    </row>
    <row r="50" spans="1:5" x14ac:dyDescent="0.45">
      <c r="A50" s="220"/>
      <c r="B50" s="152" t="str">
        <f>IF($B$48&lt;&gt;"Proceed to final confirmation","","Please read below")</f>
        <v>Please read below</v>
      </c>
      <c r="C50" s="153"/>
    </row>
    <row r="51" spans="1:5" ht="166.5" customHeight="1" x14ac:dyDescent="0.45">
      <c r="A51" s="221"/>
      <c r="B51" s="157" t="str">
        <f>IF($B$48&lt;&gt;"Proceed to final confirmation","",Text!B175)</f>
        <v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v>
      </c>
      <c r="C51" s="136"/>
    </row>
    <row r="52" spans="1:5" ht="25" thickBot="1" x14ac:dyDescent="0.5">
      <c r="A52" s="221"/>
      <c r="B52" s="158"/>
      <c r="C52" s="136"/>
    </row>
    <row r="53" spans="1:5" ht="25.5" thickTop="1" thickBot="1" x14ac:dyDescent="0.5">
      <c r="A53" s="221"/>
      <c r="B53" s="143" t="str">
        <f>IF($B$48="Proceed to final confirmation","Please provide final confirmation of your entity's legal services expenditure for 2022-23","")</f>
        <v>Please provide final confirmation of your entity's legal services expenditure for 2022-23</v>
      </c>
      <c r="C53" s="118" t="s">
        <v>608</v>
      </c>
      <c r="D53" s="123" t="str">
        <f>IF(B48&lt;&gt;"Proceed to final confirmation","",IF(C53="","E",""))</f>
        <v/>
      </c>
      <c r="E53" s="144" t="str">
        <f>IF(B53="Please provide final confirmation of your entity's legal services expenditure for 2022-23","B","")</f>
        <v>B</v>
      </c>
    </row>
    <row r="54" spans="1:5" ht="25.5" thickTop="1" thickBot="1" x14ac:dyDescent="0.5">
      <c r="A54" s="218"/>
      <c r="B54" s="145" t="str">
        <f>IF($B$48&lt;&gt;"Proceed to final confirmation","",IF(D53="E","Please select 'I confirm' or 'I do not confirm' from the drop down list",IF($C$53="I do not confirm","Please revise Entry Form or contact OLSC for assistance",IF(AND($B$53&lt;&gt;"",$C$53="I confirm"),"Report complete",""))))</f>
        <v>Report complete</v>
      </c>
      <c r="C54" s="146"/>
    </row>
    <row r="55" spans="1:5" ht="25" thickTop="1" x14ac:dyDescent="0.45">
      <c r="A55" s="222"/>
      <c r="B55" s="159"/>
      <c r="C55" s="160"/>
    </row>
    <row r="56" spans="1:5" ht="160.5" customHeight="1" x14ac:dyDescent="0.45">
      <c r="A56" s="221"/>
      <c r="B56" s="157" t="str">
        <f>IF($B$54&lt;&gt;"Report complete","",Text!B177)</f>
        <v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v>
      </c>
      <c r="C56" s="136"/>
    </row>
    <row r="57" spans="1:5" x14ac:dyDescent="0.45">
      <c r="A57" s="221"/>
      <c r="B57" s="156"/>
      <c r="C57" s="136"/>
    </row>
    <row r="58" spans="1:5" ht="39.75" customHeight="1" thickBot="1" x14ac:dyDescent="0.6">
      <c r="A58" s="223"/>
      <c r="B58" s="161" t="s">
        <v>731</v>
      </c>
      <c r="C58" s="162"/>
    </row>
    <row r="59" spans="1:5" ht="25" thickTop="1" x14ac:dyDescent="0.45">
      <c r="A59" s="217"/>
      <c r="B59" s="142"/>
      <c r="C59" s="138"/>
    </row>
    <row r="60" spans="1:5" ht="53.25" customHeight="1" x14ac:dyDescent="0.45">
      <c r="A60" s="221"/>
      <c r="B60" s="206" t="str">
        <f>IF($B$54&lt;&gt;"Report complete","","Entity name")</f>
        <v>Entity name</v>
      </c>
      <c r="C60" s="163" t="str">
        <f>IF($B$54&lt;&gt;"Report complete","",$B5)</f>
        <v>Australian Criminal Intelligence Commission</v>
      </c>
    </row>
    <row r="61" spans="1:5" x14ac:dyDescent="0.45">
      <c r="A61" s="221"/>
      <c r="B61" s="207" t="str">
        <f>IF($B$54&lt;&gt;"Report complete","","ABN")</f>
        <v>ABN</v>
      </c>
      <c r="C61" s="164" t="str">
        <f>IF($B$54&lt;&gt;"Report complete","",$B6)</f>
        <v>11 259 448 410</v>
      </c>
    </row>
    <row r="62" spans="1:5" x14ac:dyDescent="0.45">
      <c r="A62" s="217"/>
      <c r="B62" s="142"/>
      <c r="C62" s="138"/>
    </row>
    <row r="63" spans="1:5" ht="25" thickBot="1" x14ac:dyDescent="0.5">
      <c r="A63" s="219"/>
      <c r="B63" s="147" t="str">
        <f>IF($B$54&lt;&gt;"Report complete","","Totals")</f>
        <v>Totals</v>
      </c>
      <c r="C63" s="148"/>
    </row>
    <row r="64" spans="1:5" ht="25" thickTop="1" x14ac:dyDescent="0.45">
      <c r="A64" s="221"/>
      <c r="B64" s="165"/>
      <c r="C64" s="136"/>
    </row>
    <row r="65" spans="1:3" x14ac:dyDescent="0.45">
      <c r="A65" s="221"/>
      <c r="B65" s="207" t="str">
        <f>IF($B$54&lt;&gt;"Report complete","","Total legal services expenditure")</f>
        <v>Total legal services expenditure</v>
      </c>
      <c r="C65" s="166">
        <f>IF($B$54&lt;&gt;"Report complete","",$C16)</f>
        <v>7257778</v>
      </c>
    </row>
    <row r="66" spans="1:3" x14ac:dyDescent="0.45">
      <c r="A66" s="221"/>
      <c r="B66" s="207" t="str">
        <f>IF($B$54&lt;&gt;"Report complete","","Total internal legal services expenditure")</f>
        <v>Total internal legal services expenditure</v>
      </c>
      <c r="C66" s="166">
        <f>IF($B$54&lt;&gt;"Report complete","",$C17)</f>
        <v>5644130</v>
      </c>
    </row>
    <row r="67" spans="1:3" x14ac:dyDescent="0.45">
      <c r="A67" s="221"/>
      <c r="B67" s="207" t="str">
        <f>IF($B$54&lt;&gt;"Report complete","","Total external legal services expenditure")</f>
        <v>Total external legal services expenditure</v>
      </c>
      <c r="C67" s="166">
        <f>IF($B$54&lt;&gt;"Report complete","",$C18)</f>
        <v>1613648</v>
      </c>
    </row>
    <row r="68" spans="1:3" x14ac:dyDescent="0.45">
      <c r="A68" s="221"/>
      <c r="B68" s="165"/>
      <c r="C68" s="136"/>
    </row>
    <row r="69" spans="1:3" ht="25" thickBot="1" x14ac:dyDescent="0.5">
      <c r="A69" s="219" t="str">
        <f>IF($B$54&lt;&gt;"Report complete","","Section 1")</f>
        <v>Section 1</v>
      </c>
      <c r="B69" s="147" t="str">
        <f>IF($B$54&lt;&gt;"Report complete","","Internal Legal Services Expenditure")</f>
        <v>Internal Legal Services Expenditure</v>
      </c>
      <c r="C69" s="148"/>
    </row>
    <row r="70" spans="1:3" ht="25" thickTop="1" x14ac:dyDescent="0.45">
      <c r="A70" s="221"/>
      <c r="B70" s="165"/>
      <c r="C70" s="136"/>
    </row>
    <row r="71" spans="1:3" x14ac:dyDescent="0.45">
      <c r="A71" s="221"/>
      <c r="B71" s="207" t="str">
        <f>IF($B$54&lt;&gt;"Report complete","","Total value of internal legal services expenditure")</f>
        <v>Total value of internal legal services expenditure</v>
      </c>
      <c r="C71" s="166">
        <f>IF($B$54&lt;&gt;"Report complete","",'Entry Form'!$C34)</f>
        <v>5644130</v>
      </c>
    </row>
    <row r="72" spans="1:3" x14ac:dyDescent="0.45">
      <c r="A72" s="221"/>
      <c r="B72" s="165"/>
      <c r="C72" s="136"/>
    </row>
    <row r="73" spans="1:3" ht="25" thickBot="1" x14ac:dyDescent="0.5">
      <c r="A73" s="219" t="str">
        <f>IF($B$54&lt;&gt;"Report complete","","Section 2")</f>
        <v>Section 2</v>
      </c>
      <c r="B73" s="147" t="str">
        <f>IF($B$54&lt;&gt;"Report complete","","Counsel Briefs")</f>
        <v>Counsel Briefs</v>
      </c>
      <c r="C73" s="148"/>
    </row>
    <row r="74" spans="1:3" ht="25" thickTop="1" x14ac:dyDescent="0.45">
      <c r="A74" s="221"/>
      <c r="B74" s="165"/>
      <c r="C74" s="136"/>
    </row>
    <row r="75" spans="1:3" x14ac:dyDescent="0.45">
      <c r="A75" s="221"/>
      <c r="B75" s="207" t="str">
        <f>IF($B$54&lt;&gt;"Report complete","","Total number of briefs to counsel")</f>
        <v>Total number of briefs to counsel</v>
      </c>
      <c r="C75" s="203">
        <f>IF($B$54&lt;&gt;"Report complete","",SUM(C93,C111))</f>
        <v>41</v>
      </c>
    </row>
    <row r="76" spans="1:3" x14ac:dyDescent="0.45">
      <c r="A76" s="221"/>
      <c r="B76" s="207" t="str">
        <f>IF($B$54&lt;&gt;"Report complete","","Total value of briefs to counsel")</f>
        <v>Total value of briefs to counsel</v>
      </c>
      <c r="C76" s="166">
        <f>IF($B$54&lt;&gt;"Report complete","",SUM(C94,C112))</f>
        <v>460862</v>
      </c>
    </row>
    <row r="77" spans="1:3" x14ac:dyDescent="0.45">
      <c r="A77" s="221"/>
      <c r="B77" s="165"/>
      <c r="C77" s="136"/>
    </row>
    <row r="78" spans="1:3" ht="25" thickBot="1" x14ac:dyDescent="0.5">
      <c r="A78" s="224" t="str">
        <f>IF($B$54&lt;&gt;"Report complete","","Section 2a")</f>
        <v>Section 2a</v>
      </c>
      <c r="B78" s="167" t="str">
        <f>IF($B$54&lt;&gt;"Report complete","","Junior Counsel (direct briefs)")</f>
        <v>Junior Counsel (direct briefs)</v>
      </c>
      <c r="C78" s="168"/>
    </row>
    <row r="79" spans="1:3" x14ac:dyDescent="0.45">
      <c r="A79" s="221"/>
      <c r="B79" s="208" t="str">
        <f>IF($B$54&lt;&gt;"Report complete","","Total number of direct briefs to male junior counsel")</f>
        <v>Total number of direct briefs to male junior counsel</v>
      </c>
      <c r="C79" s="204">
        <f>IF($B$54&lt;&gt;"Report complete","",'Entry Form'!$C48)</f>
        <v>7</v>
      </c>
    </row>
    <row r="80" spans="1:3" x14ac:dyDescent="0.45">
      <c r="A80" s="221"/>
      <c r="B80" s="209" t="str">
        <f>IF($B$54&lt;&gt;"Report complete","","Total value of direct briefs to male junior counsel")</f>
        <v>Total value of direct briefs to male junior counsel</v>
      </c>
      <c r="C80" s="166">
        <f>IF($B$54&lt;&gt;"Report complete","",'Entry Form'!$C49)</f>
        <v>6716</v>
      </c>
    </row>
    <row r="81" spans="1:3" x14ac:dyDescent="0.45">
      <c r="A81" s="221"/>
      <c r="B81" s="208" t="str">
        <f>IF($B$54&lt;&gt;"Report complete","","Total number of direct briefs to female junior counsel")</f>
        <v>Total number of direct briefs to female junior counsel</v>
      </c>
      <c r="C81" s="204">
        <f>IF($B$54&lt;&gt;"Report complete","",'Entry Form'!$C51)</f>
        <v>2</v>
      </c>
    </row>
    <row r="82" spans="1:3" x14ac:dyDescent="0.45">
      <c r="A82" s="221"/>
      <c r="B82" s="209" t="str">
        <f>IF($B$54&lt;&gt;"Report complete","","Total value of direct briefs to female junior counsel")</f>
        <v>Total value of direct briefs to female junior counsel</v>
      </c>
      <c r="C82" s="166">
        <f>IF($B$54&lt;&gt;"Report complete","",'Entry Form'!$C52)</f>
        <v>6745</v>
      </c>
    </row>
    <row r="83" spans="1:3" x14ac:dyDescent="0.45">
      <c r="A83" s="221"/>
      <c r="B83" s="208" t="str">
        <f>IF($B$54&lt;&gt;"Report complete","","Total number of direct briefs to gender X junior counsel")</f>
        <v>Total number of direct briefs to gender X junior counsel</v>
      </c>
      <c r="C83" s="204">
        <f>IF($B$54&lt;&gt;"Report complete","",'Entry Form'!$C54)</f>
        <v>0</v>
      </c>
    </row>
    <row r="84" spans="1:3" x14ac:dyDescent="0.45">
      <c r="A84" s="221"/>
      <c r="B84" s="209" t="str">
        <f>IF($B$54&lt;&gt;"Report complete","","Total value of direct briefs to gender X junior counsel")</f>
        <v>Total value of direct briefs to gender X junior counsel</v>
      </c>
      <c r="C84" s="166">
        <f>IF($B$54&lt;&gt;"Report complete","",'Entry Form'!$C55)</f>
        <v>0</v>
      </c>
    </row>
    <row r="85" spans="1:3" ht="25" thickBot="1" x14ac:dyDescent="0.5">
      <c r="A85" s="221"/>
      <c r="B85" s="167" t="str">
        <f>IF($B$54&lt;&gt;"Report complete","","Junior Counsel (indirect briefs)")</f>
        <v>Junior Counsel (indirect briefs)</v>
      </c>
      <c r="C85" s="168"/>
    </row>
    <row r="86" spans="1:3" x14ac:dyDescent="0.45">
      <c r="A86" s="221"/>
      <c r="B86" s="208" t="str">
        <f>IF($B$54&lt;&gt;"Report complete","","Total number of indirect briefs to male junior counsel")</f>
        <v>Total number of indirect briefs to male junior counsel</v>
      </c>
      <c r="C86" s="204">
        <f>IF($B$54&lt;&gt;"Report complete","",'Entry Form'!$C60)</f>
        <v>5</v>
      </c>
    </row>
    <row r="87" spans="1:3" x14ac:dyDescent="0.45">
      <c r="A87" s="221"/>
      <c r="B87" s="209" t="str">
        <f>IF($B$54&lt;&gt;"Report complete","","Total value of indirect briefs to male junior counsel")</f>
        <v>Total value of indirect briefs to male junior counsel</v>
      </c>
      <c r="C87" s="166">
        <f>IF($B$54&lt;&gt;"Report complete","",'Entry Form'!$C61)</f>
        <v>65213</v>
      </c>
    </row>
    <row r="88" spans="1:3" x14ac:dyDescent="0.45">
      <c r="A88" s="221"/>
      <c r="B88" s="208" t="str">
        <f>IF($B$54&lt;&gt;"Report complete","","Total number of indirect briefs to female junior counsel")</f>
        <v>Total number of indirect briefs to female junior counsel</v>
      </c>
      <c r="C88" s="204">
        <f>IF($B$54&lt;&gt;"Report complete","",'Entry Form'!$C63)</f>
        <v>7</v>
      </c>
    </row>
    <row r="89" spans="1:3" x14ac:dyDescent="0.45">
      <c r="A89" s="221"/>
      <c r="B89" s="209" t="str">
        <f>IF($B$54&lt;&gt;"Report complete","","Total value of indirect briefs to female junior counsel")</f>
        <v>Total value of indirect briefs to female junior counsel</v>
      </c>
      <c r="C89" s="166">
        <f>IF($B$54&lt;&gt;"Report complete","",'Entry Form'!$C64)</f>
        <v>69587</v>
      </c>
    </row>
    <row r="90" spans="1:3" x14ac:dyDescent="0.45">
      <c r="A90" s="221"/>
      <c r="B90" s="208" t="str">
        <f>IF($B$54&lt;&gt;"Report complete","","Total number of indirect briefs to gender X junior counsel")</f>
        <v>Total number of indirect briefs to gender X junior counsel</v>
      </c>
      <c r="C90" s="204">
        <f>IF($B$54&lt;&gt;"Report complete","",'Entry Form'!$C66)</f>
        <v>0</v>
      </c>
    </row>
    <row r="91" spans="1:3" x14ac:dyDescent="0.45">
      <c r="A91" s="221"/>
      <c r="B91" s="209" t="str">
        <f>IF($B$54&lt;&gt;"Report complete","","Total value of indirect briefs to gender X junior counsel")</f>
        <v>Total value of indirect briefs to gender X junior counsel</v>
      </c>
      <c r="C91" s="166">
        <f>IF($B$54&lt;&gt;"Report complete","",'Entry Form'!$C67)</f>
        <v>0</v>
      </c>
    </row>
    <row r="92" spans="1:3" x14ac:dyDescent="0.45">
      <c r="A92" s="221"/>
      <c r="B92" s="165"/>
      <c r="C92" s="136"/>
    </row>
    <row r="93" spans="1:3" x14ac:dyDescent="0.45">
      <c r="A93" s="221"/>
      <c r="B93" s="207" t="str">
        <f>IF($B$54&lt;&gt;"Report complete","","Total number of briefs to junior counsel")</f>
        <v>Total number of briefs to junior counsel</v>
      </c>
      <c r="C93" s="205">
        <f>IF($B$54&lt;&gt;"Report complete","",SUM(C79,C81,C83,C86,C88,C90))</f>
        <v>21</v>
      </c>
    </row>
    <row r="94" spans="1:3" x14ac:dyDescent="0.45">
      <c r="A94" s="221"/>
      <c r="B94" s="207" t="str">
        <f>IF($B$54&lt;&gt;"Report complete","","Total value of briefs to junior counsel")</f>
        <v>Total value of briefs to junior counsel</v>
      </c>
      <c r="C94" s="169">
        <f>IF($B$54&lt;&gt;"Report complete","",SUM(C80,C82,C84,C87,C89,C91))</f>
        <v>148261</v>
      </c>
    </row>
    <row r="95" spans="1:3" x14ac:dyDescent="0.45">
      <c r="A95" s="221"/>
      <c r="B95" s="165"/>
      <c r="C95" s="136"/>
    </row>
    <row r="96" spans="1:3" ht="25" thickBot="1" x14ac:dyDescent="0.5">
      <c r="A96" s="224" t="str">
        <f>IF($B$54&lt;&gt;"Report complete","","Section 2b")</f>
        <v>Section 2b</v>
      </c>
      <c r="B96" s="167" t="str">
        <f>IF($B$54&lt;&gt;"Report complete","","Senior Counsel (direct briefs)")</f>
        <v>Senior Counsel (direct briefs)</v>
      </c>
      <c r="C96" s="168"/>
    </row>
    <row r="97" spans="1:3" x14ac:dyDescent="0.45">
      <c r="A97" s="221"/>
      <c r="B97" s="208" t="str">
        <f>IF($B$54&lt;&gt;"Report complete","","Total number of direct briefs to male senior counsel")</f>
        <v>Total number of direct briefs to male senior counsel</v>
      </c>
      <c r="C97" s="204">
        <f>IF($B$54&lt;&gt;"Report complete","",'Entry Form'!$C73)</f>
        <v>1</v>
      </c>
    </row>
    <row r="98" spans="1:3" x14ac:dyDescent="0.45">
      <c r="A98" s="221"/>
      <c r="B98" s="209" t="str">
        <f>IF($B$54&lt;&gt;"Report complete","","Total value of direct briefs to male senior counsel")</f>
        <v>Total value of direct briefs to male senior counsel</v>
      </c>
      <c r="C98" s="166">
        <f>IF($B$54&lt;&gt;"Report complete","",'Entry Form'!$C74)</f>
        <v>1312</v>
      </c>
    </row>
    <row r="99" spans="1:3" x14ac:dyDescent="0.45">
      <c r="A99" s="221"/>
      <c r="B99" s="208" t="str">
        <f>IF($B$54&lt;&gt;"Report complete","","Total number of direct briefs to female senior counsel")</f>
        <v>Total number of direct briefs to female senior counsel</v>
      </c>
      <c r="C99" s="204">
        <f>IF($B$54&lt;&gt;"Report complete","",'Entry Form'!$C76)</f>
        <v>10</v>
      </c>
    </row>
    <row r="100" spans="1:3" x14ac:dyDescent="0.45">
      <c r="A100" s="221"/>
      <c r="B100" s="209" t="str">
        <f>IF($B$54&lt;&gt;"Report complete","","Total value of direct briefs to female senior counsel")</f>
        <v>Total value of direct briefs to female senior counsel</v>
      </c>
      <c r="C100" s="166">
        <f>IF($B$54&lt;&gt;"Report complete","",'Entry Form'!$C77)</f>
        <v>185779</v>
      </c>
    </row>
    <row r="101" spans="1:3" x14ac:dyDescent="0.45">
      <c r="A101" s="221"/>
      <c r="B101" s="208" t="str">
        <f>IF($B$54&lt;&gt;"Report complete","","Total number of direct briefs to gender X senior counsel")</f>
        <v>Total number of direct briefs to gender X senior counsel</v>
      </c>
      <c r="C101" s="204">
        <f>IF($B$54&lt;&gt;"Report complete","",'Entry Form'!$C79)</f>
        <v>0</v>
      </c>
    </row>
    <row r="102" spans="1:3" x14ac:dyDescent="0.45">
      <c r="A102" s="221"/>
      <c r="B102" s="209" t="str">
        <f>IF($B$54&lt;&gt;"Report complete","","Total value of direct briefs to gender X senior counsel")</f>
        <v>Total value of direct briefs to gender X senior counsel</v>
      </c>
      <c r="C102" s="166">
        <f>IF($B$54&lt;&gt;"Report complete","",'Entry Form'!$C80)</f>
        <v>0</v>
      </c>
    </row>
    <row r="103" spans="1:3" ht="25" thickBot="1" x14ac:dyDescent="0.5">
      <c r="A103" s="221"/>
      <c r="B103" s="167" t="str">
        <f>IF($B$54&lt;&gt;"Report complete","","Senior Counsel (indirect briefs)")</f>
        <v>Senior Counsel (indirect briefs)</v>
      </c>
      <c r="C103" s="168"/>
    </row>
    <row r="104" spans="1:3" x14ac:dyDescent="0.45">
      <c r="A104" s="221"/>
      <c r="B104" s="208" t="str">
        <f>IF($B$54&lt;&gt;"Report complete","","Total number of indirect briefs to male senior counsel")</f>
        <v>Total number of indirect briefs to male senior counsel</v>
      </c>
      <c r="C104" s="204">
        <f>IF($B$54&lt;&gt;"Report complete","",'Entry Form'!$C85)</f>
        <v>5</v>
      </c>
    </row>
    <row r="105" spans="1:3" x14ac:dyDescent="0.45">
      <c r="A105" s="221"/>
      <c r="B105" s="209" t="str">
        <f>IF($B$54&lt;&gt;"Report complete","","Total value of indirect briefs to male senior counsel")</f>
        <v>Total value of indirect briefs to male senior counsel</v>
      </c>
      <c r="C105" s="166">
        <f>IF($B$54&lt;&gt;"Report complete","",'Entry Form'!$C86)</f>
        <v>59412</v>
      </c>
    </row>
    <row r="106" spans="1:3" x14ac:dyDescent="0.45">
      <c r="A106" s="221"/>
      <c r="B106" s="208" t="str">
        <f>IF($B$54&lt;&gt;"Report complete","","Total number of indirect briefs to female senior counsel")</f>
        <v>Total number of indirect briefs to female senior counsel</v>
      </c>
      <c r="C106" s="204">
        <f>IF($B$54&lt;&gt;"Report complete","",'Entry Form'!$C88)</f>
        <v>4</v>
      </c>
    </row>
    <row r="107" spans="1:3" x14ac:dyDescent="0.45">
      <c r="A107" s="221"/>
      <c r="B107" s="209" t="str">
        <f>IF($B$54&lt;&gt;"Report complete","","Total value of indirect briefs to female senior counsel")</f>
        <v>Total value of indirect briefs to female senior counsel</v>
      </c>
      <c r="C107" s="166">
        <f>IF($B$54&lt;&gt;"Report complete","",'Entry Form'!$C89)</f>
        <v>66098</v>
      </c>
    </row>
    <row r="108" spans="1:3" x14ac:dyDescent="0.45">
      <c r="A108" s="221"/>
      <c r="B108" s="208" t="str">
        <f>IF($B$54&lt;&gt;"Report complete","","Total number of indirect briefs to gender X senior counsel")</f>
        <v>Total number of indirect briefs to gender X senior counsel</v>
      </c>
      <c r="C108" s="204">
        <f>IF($B$54&lt;&gt;"Report complete","",'Entry Form'!$C91)</f>
        <v>0</v>
      </c>
    </row>
    <row r="109" spans="1:3" x14ac:dyDescent="0.45">
      <c r="A109" s="221"/>
      <c r="B109" s="209" t="str">
        <f>IF($B$54&lt;&gt;"Report complete","","Total value of indirect briefs to gender X senior counsel")</f>
        <v>Total value of indirect briefs to gender X senior counsel</v>
      </c>
      <c r="C109" s="166">
        <f>IF($B$54&lt;&gt;"Report complete","",'Entry Form'!$C92)</f>
        <v>0</v>
      </c>
    </row>
    <row r="110" spans="1:3" x14ac:dyDescent="0.45">
      <c r="A110" s="221"/>
      <c r="B110" s="165"/>
      <c r="C110" s="136"/>
    </row>
    <row r="111" spans="1:3" x14ac:dyDescent="0.45">
      <c r="A111" s="221"/>
      <c r="B111" s="207" t="str">
        <f>IF($B$54&lt;&gt;"Report complete","","Total number of briefs to senior counsel")</f>
        <v>Total number of briefs to senior counsel</v>
      </c>
      <c r="C111" s="205">
        <f>IF($B$54&lt;&gt;"Report complete","",SUM(C97,C99,C101,C104,C106,C108))</f>
        <v>20</v>
      </c>
    </row>
    <row r="112" spans="1:3" x14ac:dyDescent="0.45">
      <c r="A112" s="221"/>
      <c r="B112" s="207" t="str">
        <f>IF($B$54&lt;&gt;"Report complete","","Total value of briefs to senior counsel")</f>
        <v>Total value of briefs to senior counsel</v>
      </c>
      <c r="C112" s="169">
        <f>IF($B$54&lt;&gt;"Report complete","",SUM(C98,C100,C102,C105,C107,C109))</f>
        <v>312601</v>
      </c>
    </row>
    <row r="113" spans="1:3" x14ac:dyDescent="0.45">
      <c r="A113" s="221"/>
      <c r="B113" s="165"/>
      <c r="C113" s="136"/>
    </row>
    <row r="114" spans="1:3" ht="25" thickBot="1" x14ac:dyDescent="0.5">
      <c r="A114" s="219" t="str">
        <f>IF($B$54&lt;&gt;"Report complete","","Section 3")</f>
        <v>Section 3</v>
      </c>
      <c r="B114" s="147" t="str">
        <f>IF($B$54&lt;&gt;"Report complete","","Disbursements")</f>
        <v>Disbursements</v>
      </c>
      <c r="C114" s="148"/>
    </row>
    <row r="115" spans="1:3" ht="25" thickTop="1" x14ac:dyDescent="0.45">
      <c r="A115" s="221"/>
      <c r="B115" s="165"/>
      <c r="C115" s="136"/>
    </row>
    <row r="116" spans="1:3" x14ac:dyDescent="0.45">
      <c r="A116" s="221"/>
      <c r="B116" s="207" t="str">
        <f>IF($B$54&lt;&gt;"Report complete","","Total value of disbursements")</f>
        <v>Total value of disbursements</v>
      </c>
      <c r="C116" s="166">
        <f>IF($B$54&lt;&gt;"Report complete","",'Entry Form'!$C104)</f>
        <v>29069</v>
      </c>
    </row>
    <row r="117" spans="1:3" x14ac:dyDescent="0.45">
      <c r="A117" s="221"/>
      <c r="B117" s="165"/>
      <c r="C117" s="136"/>
    </row>
    <row r="118" spans="1:3" ht="25" thickBot="1" x14ac:dyDescent="0.5">
      <c r="A118" s="219" t="str">
        <f>IF($B$54&lt;&gt;"Report complete","","Section 4")</f>
        <v>Section 4</v>
      </c>
      <c r="B118" s="147" t="str">
        <f>IF($B$54&lt;&gt;"Report complete","","Legal Services Panels")</f>
        <v>Legal Services Panels</v>
      </c>
      <c r="C118" s="148"/>
    </row>
    <row r="119" spans="1:3" ht="25" thickTop="1" x14ac:dyDescent="0.45">
      <c r="A119" s="221"/>
      <c r="B119" s="165"/>
      <c r="C119" s="136"/>
    </row>
    <row r="120" spans="1:3" x14ac:dyDescent="0.45">
      <c r="A120" s="221"/>
      <c r="B120" s="207" t="str">
        <f>IF($B$54&lt;&gt;"Report complete","","Does your entity participate in the Whole of Australian Government Legal Services Panel")</f>
        <v>Does your entity participate in the Whole of Australian Government Legal Services Panel</v>
      </c>
      <c r="C120" s="170" t="str">
        <f>IF($B$54&lt;&gt;"Report complete","",'Entry Form'!$C117)</f>
        <v>Yes</v>
      </c>
    </row>
    <row r="121" spans="1:3" x14ac:dyDescent="0.45">
      <c r="A121" s="221"/>
      <c r="B121" s="210" t="str">
        <f>IF($C$120&lt;&gt;"Yes","","Panel fee for 2022-23")</f>
        <v>Panel fee for 2022-23</v>
      </c>
      <c r="C121" s="166">
        <f>IF($B$54&lt;&gt;"Report complete","",'Entry Form'!$C126)</f>
        <v>724.40114028360006</v>
      </c>
    </row>
    <row r="122" spans="1:3" x14ac:dyDescent="0.45">
      <c r="A122" s="221"/>
      <c r="B122" s="165"/>
      <c r="C122" s="136"/>
    </row>
    <row r="123" spans="1:3" x14ac:dyDescent="0.45">
      <c r="A123" s="221"/>
      <c r="B123" s="210" t="str">
        <f>IF($C$120&lt;&gt;"Yes","","Total value of professional fees expenditure on 10% off-Panel allowance")</f>
        <v>Total value of professional fees expenditure on 10% off-Panel allowance</v>
      </c>
      <c r="C123" s="166">
        <f>IF($B$54&lt;&gt;"Report complete","",'Entry Form'!$C128)</f>
        <v>0</v>
      </c>
    </row>
    <row r="124" spans="1:3" x14ac:dyDescent="0.45">
      <c r="A124" s="221"/>
      <c r="B124" s="210" t="str">
        <f>IF($C$120&lt;&gt;"Yes","","Total value of professional fees expenditure on exemptions from using the Panel")</f>
        <v>Total value of professional fees expenditure on exemptions from using the Panel</v>
      </c>
      <c r="C124" s="166">
        <f>IF($B$54&lt;&gt;"Report complete","",'Entry Form'!$C129)</f>
        <v>0</v>
      </c>
    </row>
    <row r="125" spans="1:3" x14ac:dyDescent="0.45">
      <c r="A125" s="221"/>
      <c r="B125" s="165"/>
      <c r="C125" s="136"/>
    </row>
    <row r="126" spans="1:3" x14ac:dyDescent="0.45">
      <c r="A126" s="221"/>
      <c r="B126" s="207" t="str">
        <f>IF($B$54&lt;&gt;"Report complete","","Total value of professional fees expenditure on Provision of Tax Technical Legal Services Panel for 2022-23")</f>
        <v>Total value of professional fees expenditure on Provision of Tax Technical Legal Services Panel for 2022-23</v>
      </c>
      <c r="C126" s="166">
        <f>IF($B$54&lt;&gt;"Report complete","",'Entry Form'!$C119)</f>
        <v>0</v>
      </c>
    </row>
    <row r="127" spans="1:3" x14ac:dyDescent="0.45">
      <c r="A127" s="221"/>
      <c r="B127" s="207" t="str">
        <f>IF($B$54&lt;&gt;"Report complete","","Total value of professional fees expenditure on ACCC/AER Competition and Consumer Panel 2019 for 2022-23")</f>
        <v>Total value of professional fees expenditure on ACCC/AER Competition and Consumer Panel 2019 for 2022-23</v>
      </c>
      <c r="C127" s="166">
        <f>IF($B$54&lt;&gt;"Report complete","",'Entry Form'!$C121)</f>
        <v>0</v>
      </c>
    </row>
    <row r="128" spans="1:3" x14ac:dyDescent="0.45">
      <c r="A128" s="221"/>
      <c r="B128" s="165"/>
      <c r="C128" s="136"/>
    </row>
    <row r="129" spans="1:3" ht="25" thickBot="1" x14ac:dyDescent="0.5">
      <c r="A129" s="219" t="str">
        <f>IF($B$54&lt;&gt;"Report complete","","Section 5")</f>
        <v>Section 5</v>
      </c>
      <c r="B129" s="147" t="str">
        <f>IF($B$54&lt;&gt;"Report complete","","Professional fees")</f>
        <v>Professional fees</v>
      </c>
      <c r="C129" s="148"/>
    </row>
    <row r="130" spans="1:3" ht="25" thickTop="1" x14ac:dyDescent="0.45">
      <c r="A130" s="221"/>
      <c r="B130" s="165"/>
      <c r="C130" s="136"/>
    </row>
    <row r="131" spans="1:3" x14ac:dyDescent="0.45">
      <c r="A131" s="221"/>
      <c r="B131" s="207" t="str">
        <f>IF($B$54&lt;&gt;"Report complete","","Total value of professional fees")</f>
        <v>Total value of professional fees</v>
      </c>
      <c r="C131" s="166">
        <f>IF($B$54&lt;&gt;"Report complete","",SUM(C142:C189,C139,C134:C136))</f>
        <v>1123717</v>
      </c>
    </row>
    <row r="132" spans="1:3" x14ac:dyDescent="0.45">
      <c r="A132" s="221"/>
      <c r="B132" s="165"/>
      <c r="C132" s="136"/>
    </row>
    <row r="133" spans="1:3" ht="25" thickBot="1" x14ac:dyDescent="0.5">
      <c r="A133" s="224" t="str">
        <f>IF($B$54&lt;&gt;"Report complete","","Section 5a")</f>
        <v>Section 5a</v>
      </c>
      <c r="B133" s="167" t="str">
        <f>IF($B$54&lt;&gt;"Report complete","","Other Government Providers")</f>
        <v>Other Government Providers</v>
      </c>
      <c r="C133" s="168"/>
    </row>
    <row r="134" spans="1:3" x14ac:dyDescent="0.45">
      <c r="A134" s="221"/>
      <c r="B134" s="210" t="str">
        <f>IF($B$54&lt;&gt;"Report complete","","Attorney-General's Department (DO NOT INCLUDE PANEL FEE)")</f>
        <v>Attorney-General's Department (DO NOT INCLUDE PANEL FEE)</v>
      </c>
      <c r="C134" s="166">
        <f>IF($B$54&lt;&gt;"Report complete","",'Entry Form'!$C145)</f>
        <v>0</v>
      </c>
    </row>
    <row r="135" spans="1:3" x14ac:dyDescent="0.45">
      <c r="A135" s="221"/>
      <c r="B135" s="210" t="str">
        <f>IF($B$54&lt;&gt;"Report complete","","Department of Foreign Affairs and Trade")</f>
        <v>Department of Foreign Affairs and Trade</v>
      </c>
      <c r="C135" s="166">
        <f>IF($B$54&lt;&gt;"Report complete","",'Entry Form'!$C147)</f>
        <v>0</v>
      </c>
    </row>
    <row r="136" spans="1:3" x14ac:dyDescent="0.45">
      <c r="A136" s="221"/>
      <c r="B136" s="210" t="str">
        <f>IF($B$54&lt;&gt;"Report complete","","Office of Parliamentary Counsel")</f>
        <v>Office of Parliamentary Counsel</v>
      </c>
      <c r="C136" s="166">
        <f>IF($B$54&lt;&gt;"Report complete","",'Entry Form'!$C149)</f>
        <v>0</v>
      </c>
    </row>
    <row r="137" spans="1:3" x14ac:dyDescent="0.45">
      <c r="A137" s="221"/>
      <c r="B137" s="165"/>
      <c r="C137" s="136"/>
    </row>
    <row r="138" spans="1:3" ht="25" thickBot="1" x14ac:dyDescent="0.5">
      <c r="A138" s="224" t="str">
        <f>IF($B$54&lt;&gt;"Report complete","","Section 5b")</f>
        <v>Section 5b</v>
      </c>
      <c r="B138" s="167" t="str">
        <f>IF($B$54&lt;&gt;"Report complete","","Overseas Legal Services Providers")</f>
        <v>Overseas Legal Services Providers</v>
      </c>
      <c r="C138" s="168"/>
    </row>
    <row r="139" spans="1:3" x14ac:dyDescent="0.45">
      <c r="A139" s="221"/>
      <c r="B139" s="210" t="str">
        <f>IF($B$54&lt;&gt;"Report complete","","Overseas firms (total figure)")</f>
        <v>Overseas firms (total figure)</v>
      </c>
      <c r="C139" s="166">
        <f>IF($B$54&lt;&gt;"Report complete","",'Entry Form'!$C155)</f>
        <v>0</v>
      </c>
    </row>
    <row r="140" spans="1:3" x14ac:dyDescent="0.45">
      <c r="A140" s="221"/>
      <c r="B140" s="165"/>
      <c r="C140" s="136"/>
    </row>
    <row r="141" spans="1:3" ht="25" thickBot="1" x14ac:dyDescent="0.5">
      <c r="A141" s="224" t="str">
        <f>IF($B$54&lt;&gt;"Report complete","","Section 5c")</f>
        <v>Section 5c</v>
      </c>
      <c r="B141" s="167" t="str">
        <f>IF($B$54&lt;&gt;"Report complete","","Domestic Providers")</f>
        <v>Domestic Providers</v>
      </c>
      <c r="C141" s="168"/>
    </row>
    <row r="142" spans="1:3" x14ac:dyDescent="0.45">
      <c r="A142" s="221"/>
      <c r="B142" s="208" t="str">
        <f>IF($B$54&lt;&gt;"Report complete","","Australian Government Solicitor")</f>
        <v>Australian Government Solicitor</v>
      </c>
      <c r="C142" s="166">
        <f>IF($B$54&lt;&gt;"Report complete","",'Entry Form'!$C161)</f>
        <v>820503</v>
      </c>
    </row>
    <row r="143" spans="1:3" x14ac:dyDescent="0.45">
      <c r="A143" s="221"/>
      <c r="B143" s="211" t="str">
        <f>IF($B$54&lt;&gt;"Report complete","",IF(NOT(ISNUMBER(MATCH(Formulas!$O2,domestic,0))),"",IF(INDEX(firmnames,MATCH(Formulas!$O2,domestic,0))&lt;&gt;"PROVIDER NOT LISTED",INDEX(firmnames,MATCH(Formulas!$O2,domestic,0)),INDEX(firmnames,MATCH(Formulas!$O2,domestic,0)+1))))</f>
        <v>Ashurst</v>
      </c>
      <c r="C143" s="166">
        <f>IF($B$54&lt;&gt;"Report complete","",IF(NOT(ISNUMBER(MATCH(Formulas!$O2,domestic,0))),"",INDEX(firmnames,MATCH(Formulas!$O2,domestic,0)+2)))</f>
        <v>81149</v>
      </c>
    </row>
    <row r="144" spans="1:3" x14ac:dyDescent="0.45">
      <c r="A144" s="221"/>
      <c r="B144" s="211" t="str">
        <f>IF($B$54&lt;&gt;"Report complete","",IF(NOT(ISNUMBER(MATCH(Formulas!$O3,domestic,0))),"",IF(INDEX(firmnames,MATCH(Formulas!$O3,domestic,0))&lt;&gt;"PROVIDER NOT LISTED",INDEX(firmnames,MATCH(Formulas!$O3,domestic,0)),INDEX(firmnames,MATCH(Formulas!$O3,domestic,0)+1))))</f>
        <v>Clayton Utz</v>
      </c>
      <c r="C144" s="166">
        <f>IF($B$54&lt;&gt;"Report complete","",IF(NOT(ISNUMBER(MATCH(Formulas!$O3,domestic,0))),"",INDEX(firmnames,MATCH(Formulas!$O3,domestic,0)+2)))</f>
        <v>136005</v>
      </c>
    </row>
    <row r="145" spans="1:3" x14ac:dyDescent="0.45">
      <c r="A145" s="221"/>
      <c r="B145" s="211" t="str">
        <f>IF($B$54&lt;&gt;"Report complete","",IF(NOT(ISNUMBER(MATCH(Formulas!$O4,domestic,0))),"",IF(INDEX(firmnames,MATCH(Formulas!$O4,domestic,0))&lt;&gt;"PROVIDER NOT LISTED",INDEX(firmnames,MATCH(Formulas!$O4,domestic,0)),INDEX(firmnames,MATCH(Formulas!$O4,domestic,0)+1))))</f>
        <v>King and Wood Mallesons</v>
      </c>
      <c r="C145" s="166">
        <f>IF($B$54&lt;&gt;"Report complete","",IF(NOT(ISNUMBER(MATCH(Formulas!$O4,domestic,0))),"",INDEX(firmnames,MATCH(Formulas!$O4,domestic,0)+2)))</f>
        <v>77842</v>
      </c>
    </row>
    <row r="146" spans="1:3" x14ac:dyDescent="0.45">
      <c r="A146" s="221"/>
      <c r="B146" s="211" t="str">
        <f>IF($B$54&lt;&gt;"Report complete","",IF(NOT(ISNUMBER(MATCH(Formulas!$O5,domestic,0))),"",IF(INDEX(firmnames,MATCH(Formulas!$O5,domestic,0))&lt;&gt;"PROVIDER NOT LISTED",INDEX(firmnames,MATCH(Formulas!$O5,domestic,0)),INDEX(firmnames,MATCH(Formulas!$O5,domestic,0)+1))))</f>
        <v>Maddocks</v>
      </c>
      <c r="C146" s="166">
        <f>IF($B$54&lt;&gt;"Report complete","",IF(NOT(ISNUMBER(MATCH(Formulas!$O5,domestic,0))),"",INDEX(firmnames,MATCH(Formulas!$O5,domestic,0)+2)))</f>
        <v>5500</v>
      </c>
    </row>
    <row r="147" spans="1:3" x14ac:dyDescent="0.45">
      <c r="A147" s="221"/>
      <c r="B147" s="211" t="str">
        <f>IF($B$54&lt;&gt;"Report complete","",IF(NOT(ISNUMBER(MATCH(Formulas!$O6,domestic,0))),"",IF(INDEX(firmnames,MATCH(Formulas!$O6,domestic,0))&lt;&gt;"PROVIDER NOT LISTED",INDEX(firmnames,MATCH(Formulas!$O6,domestic,0)),INDEX(firmnames,MATCH(Formulas!$O6,domestic,0)+1))))</f>
        <v>Norton Rose Fulbright</v>
      </c>
      <c r="C147" s="166">
        <f>IF($B$54&lt;&gt;"Report complete","",IF(NOT(ISNUMBER(MATCH(Formulas!$O6,domestic,0))),"",INDEX(firmnames,MATCH(Formulas!$O6,domestic,0)+2)))</f>
        <v>2718</v>
      </c>
    </row>
    <row r="148" spans="1:3" x14ac:dyDescent="0.45">
      <c r="A148" s="221"/>
      <c r="B148" s="211" t="str">
        <f>IF($B$54&lt;&gt;"Report complete","",IF(NOT(ISNUMBER(MATCH(Formulas!$O7,domestic,0))),"",IF(INDEX(firmnames,MATCH(Formulas!$O7,domestic,0))&lt;&gt;"PROVIDER NOT LISTED",INDEX(firmnames,MATCH(Formulas!$O7,domestic,0)),INDEX(firmnames,MATCH(Formulas!$O7,domestic,0)+1))))</f>
        <v/>
      </c>
      <c r="C148" s="166" t="str">
        <f>IF($B$54&lt;&gt;"Report complete","",IF(NOT(ISNUMBER(MATCH(Formulas!$O7,domestic,0))),"",INDEX(firmnames,MATCH(Formulas!$O7,domestic,0)+2)))</f>
        <v/>
      </c>
    </row>
    <row r="149" spans="1:3" x14ac:dyDescent="0.45">
      <c r="A149" s="221"/>
      <c r="B149" s="211" t="str">
        <f>IF($B$54&lt;&gt;"Report complete","",IF(NOT(ISNUMBER(MATCH(Formulas!$O8,domestic,0))),"",IF(INDEX(firmnames,MATCH(Formulas!$O8,domestic,0))&lt;&gt;"PROVIDER NOT LISTED",INDEX(firmnames,MATCH(Formulas!$O8,domestic,0)),INDEX(firmnames,MATCH(Formulas!$O8,domestic,0)+1))))</f>
        <v/>
      </c>
      <c r="C149" s="166" t="str">
        <f>IF($B$54&lt;&gt;"Report complete","",IF(NOT(ISNUMBER(MATCH(Formulas!$O8,domestic,0))),"",INDEX(firmnames,MATCH(Formulas!$O8,domestic,0)+2)))</f>
        <v/>
      </c>
    </row>
    <row r="150" spans="1:3" x14ac:dyDescent="0.45">
      <c r="A150" s="221"/>
      <c r="B150" s="211" t="str">
        <f>IF($B$54&lt;&gt;"Report complete","",IF(NOT(ISNUMBER(MATCH(Formulas!$O9,domestic,0))),"",IF(INDEX(firmnames,MATCH(Formulas!$O9,domestic,0))&lt;&gt;"PROVIDER NOT LISTED",INDEX(firmnames,MATCH(Formulas!$O9,domestic,0)),INDEX(firmnames,MATCH(Formulas!$O9,domestic,0)+1))))</f>
        <v/>
      </c>
      <c r="C150" s="166" t="str">
        <f>IF($B$54&lt;&gt;"Report complete","",IF(NOT(ISNUMBER(MATCH(Formulas!$O9,domestic,0))),"",INDEX(firmnames,MATCH(Formulas!$O9,domestic,0)+2)))</f>
        <v/>
      </c>
    </row>
    <row r="151" spans="1:3" x14ac:dyDescent="0.45">
      <c r="A151" s="221"/>
      <c r="B151" s="211" t="str">
        <f>IF($B$54&lt;&gt;"Report complete","",IF(NOT(ISNUMBER(MATCH(Formulas!$O10,domestic,0))),"",IF(INDEX(firmnames,MATCH(Formulas!$O10,domestic,0))&lt;&gt;"PROVIDER NOT LISTED",INDEX(firmnames,MATCH(Formulas!$O10,domestic,0)),INDEX(firmnames,MATCH(Formulas!$O10,domestic,0)+1))))</f>
        <v/>
      </c>
      <c r="C151" s="166" t="str">
        <f>IF($B$54&lt;&gt;"Report complete","",IF(NOT(ISNUMBER(MATCH(Formulas!$O10,domestic,0))),"",INDEX(firmnames,MATCH(Formulas!$O10,domestic,0)+2)))</f>
        <v/>
      </c>
    </row>
    <row r="152" spans="1:3" x14ac:dyDescent="0.45">
      <c r="A152" s="221"/>
      <c r="B152" s="211" t="str">
        <f>IF($B$54&lt;&gt;"Report complete","",IF(NOT(ISNUMBER(MATCH(Formulas!$O11,domestic,0))),"",IF(INDEX(firmnames,MATCH(Formulas!$O11,domestic,0))&lt;&gt;"PROVIDER NOT LISTED",INDEX(firmnames,MATCH(Formulas!$O11,domestic,0)),INDEX(firmnames,MATCH(Formulas!$O11,domestic,0)+1))))</f>
        <v/>
      </c>
      <c r="C152" s="166" t="str">
        <f>IF($B$54&lt;&gt;"Report complete","",IF(NOT(ISNUMBER(MATCH(Formulas!$O11,domestic,0))),"",INDEX(firmnames,MATCH(Formulas!$O11,domestic,0)+2)))</f>
        <v/>
      </c>
    </row>
    <row r="153" spans="1:3" x14ac:dyDescent="0.45">
      <c r="A153" s="221"/>
      <c r="B153" s="211" t="str">
        <f>IF($B$54&lt;&gt;"Report complete","",IF(NOT(ISNUMBER(MATCH(Formulas!$O12,domestic,0))),"",IF(INDEX(firmnames,MATCH(Formulas!$O12,domestic,0))&lt;&gt;"PROVIDER NOT LISTED",INDEX(firmnames,MATCH(Formulas!$O12,domestic,0)),INDEX(firmnames,MATCH(Formulas!$O12,domestic,0)+1))))</f>
        <v/>
      </c>
      <c r="C153" s="166" t="str">
        <f>IF($B$54&lt;&gt;"Report complete","",IF(NOT(ISNUMBER(MATCH(Formulas!$O12,domestic,0))),"",INDEX(firmnames,MATCH(Formulas!$O12,domestic,0)+2)))</f>
        <v/>
      </c>
    </row>
    <row r="154" spans="1:3" x14ac:dyDescent="0.45">
      <c r="A154" s="221"/>
      <c r="B154" s="211" t="str">
        <f>IF($B$54&lt;&gt;"Report complete","",IF(NOT(ISNUMBER(MATCH(Formulas!$O13,domestic,0))),"",IF(INDEX(firmnames,MATCH(Formulas!$O13,domestic,0))&lt;&gt;"PROVIDER NOT LISTED",INDEX(firmnames,MATCH(Formulas!$O13,domestic,0)),INDEX(firmnames,MATCH(Formulas!$O13,domestic,0)+1))))</f>
        <v/>
      </c>
      <c r="C154" s="166" t="str">
        <f>IF($B$54&lt;&gt;"Report complete","",IF(NOT(ISNUMBER(MATCH(Formulas!$O13,domestic,0))),"",INDEX(firmnames,MATCH(Formulas!$O13,domestic,0)+2)))</f>
        <v/>
      </c>
    </row>
    <row r="155" spans="1:3" x14ac:dyDescent="0.45">
      <c r="A155" s="221"/>
      <c r="B155" s="211" t="str">
        <f>IF($B$54&lt;&gt;"Report complete","",IF(NOT(ISNUMBER(MATCH(Formulas!$O14,domestic,0))),"",IF(INDEX(firmnames,MATCH(Formulas!$O14,domestic,0))&lt;&gt;"PROVIDER NOT LISTED",INDEX(firmnames,MATCH(Formulas!$O14,domestic,0)),INDEX(firmnames,MATCH(Formulas!$O14,domestic,0)+1))))</f>
        <v/>
      </c>
      <c r="C155" s="166" t="str">
        <f>IF($B$54&lt;&gt;"Report complete","",IF(NOT(ISNUMBER(MATCH(Formulas!$O14,domestic,0))),"",INDEX(firmnames,MATCH(Formulas!$O14,domestic,0)+2)))</f>
        <v/>
      </c>
    </row>
    <row r="156" spans="1:3" x14ac:dyDescent="0.45">
      <c r="A156" s="221"/>
      <c r="B156" s="211" t="str">
        <f>IF($B$54&lt;&gt;"Report complete","",IF(NOT(ISNUMBER(MATCH(Formulas!$O15,domestic,0))),"",IF(INDEX(firmnames,MATCH(Formulas!$O15,domestic,0))&lt;&gt;"PROVIDER NOT LISTED",INDEX(firmnames,MATCH(Formulas!$O15,domestic,0)),INDEX(firmnames,MATCH(Formulas!$O15,domestic,0)+1))))</f>
        <v/>
      </c>
      <c r="C156" s="166" t="str">
        <f>IF($B$54&lt;&gt;"Report complete","",IF(NOT(ISNUMBER(MATCH(Formulas!$O15,domestic,0))),"",INDEX(firmnames,MATCH(Formulas!$O15,domestic,0)+2)))</f>
        <v/>
      </c>
    </row>
    <row r="157" spans="1:3" x14ac:dyDescent="0.45">
      <c r="A157" s="221"/>
      <c r="B157" s="211" t="str">
        <f>IF($B$54&lt;&gt;"Report complete","",IF(NOT(ISNUMBER(MATCH(Formulas!$O16,domestic,0))),"",IF(INDEX(firmnames,MATCH(Formulas!$O16,domestic,0))&lt;&gt;"PROVIDER NOT LISTED",INDEX(firmnames,MATCH(Formulas!$O16,domestic,0)),INDEX(firmnames,MATCH(Formulas!$O16,domestic,0)+1))))</f>
        <v/>
      </c>
      <c r="C157" s="166" t="str">
        <f>IF($B$54&lt;&gt;"Report complete","",IF(NOT(ISNUMBER(MATCH(Formulas!$O16,domestic,0))),"",INDEX(firmnames,MATCH(Formulas!$O16,domestic,0)+2)))</f>
        <v/>
      </c>
    </row>
    <row r="158" spans="1:3" x14ac:dyDescent="0.45">
      <c r="A158" s="221"/>
      <c r="B158" s="211" t="str">
        <f>IF($B$54&lt;&gt;"Report complete","",IF(NOT(ISNUMBER(MATCH(Formulas!$O17,domestic,0))),"",IF(INDEX(firmnames,MATCH(Formulas!$O17,domestic,0))&lt;&gt;"PROVIDER NOT LISTED",INDEX(firmnames,MATCH(Formulas!$O17,domestic,0)),INDEX(firmnames,MATCH(Formulas!$O17,domestic,0)+1))))</f>
        <v/>
      </c>
      <c r="C158" s="166" t="str">
        <f>IF($B$54&lt;&gt;"Report complete","",IF(NOT(ISNUMBER(MATCH(Formulas!$O17,domestic,0))),"",INDEX(firmnames,MATCH(Formulas!$O17,domestic,0)+2)))</f>
        <v/>
      </c>
    </row>
    <row r="159" spans="1:3" x14ac:dyDescent="0.45">
      <c r="A159" s="221"/>
      <c r="B159" s="211" t="str">
        <f>IF($B$54&lt;&gt;"Report complete","",IF(NOT(ISNUMBER(MATCH(Formulas!$O18,domestic,0))),"",IF(INDEX(firmnames,MATCH(Formulas!$O18,domestic,0))&lt;&gt;"PROVIDER NOT LISTED",INDEX(firmnames,MATCH(Formulas!$O18,domestic,0)),INDEX(firmnames,MATCH(Formulas!$O18,domestic,0)+1))))</f>
        <v/>
      </c>
      <c r="C159" s="166" t="str">
        <f>IF($B$54&lt;&gt;"Report complete","",IF(NOT(ISNUMBER(MATCH(Formulas!$O18,domestic,0))),"",INDEX(firmnames,MATCH(Formulas!$O18,domestic,0)+2)))</f>
        <v/>
      </c>
    </row>
    <row r="160" spans="1:3" x14ac:dyDescent="0.45">
      <c r="A160" s="221"/>
      <c r="B160" s="211" t="str">
        <f>IF($B$54&lt;&gt;"Report complete","",IF(NOT(ISNUMBER(MATCH(Formulas!$O19,domestic,0))),"",IF(INDEX(firmnames,MATCH(Formulas!$O19,domestic,0))&lt;&gt;"PROVIDER NOT LISTED",INDEX(firmnames,MATCH(Formulas!$O19,domestic,0)),INDEX(firmnames,MATCH(Formulas!$O19,domestic,0)+1))))</f>
        <v/>
      </c>
      <c r="C160" s="166" t="str">
        <f>IF($B$54&lt;&gt;"Report complete","",IF(NOT(ISNUMBER(MATCH(Formulas!$O19,domestic,0))),"",INDEX(firmnames,MATCH(Formulas!$O19,domestic,0)+2)))</f>
        <v/>
      </c>
    </row>
    <row r="161" spans="1:3" x14ac:dyDescent="0.45">
      <c r="A161" s="221"/>
      <c r="B161" s="211" t="str">
        <f>IF($B$54&lt;&gt;"Report complete","",IF(NOT(ISNUMBER(MATCH(Formulas!$O20,domestic,0))),"",IF(INDEX(firmnames,MATCH(Formulas!$O20,domestic,0))&lt;&gt;"PROVIDER NOT LISTED",INDEX(firmnames,MATCH(Formulas!$O20,domestic,0)),INDEX(firmnames,MATCH(Formulas!$O20,domestic,0)+1))))</f>
        <v/>
      </c>
      <c r="C161" s="166" t="str">
        <f>IF($B$54&lt;&gt;"Report complete","",IF(NOT(ISNUMBER(MATCH(Formulas!$O20,domestic,0))),"",INDEX(firmnames,MATCH(Formulas!$O20,domestic,0)+2)))</f>
        <v/>
      </c>
    </row>
    <row r="162" spans="1:3" x14ac:dyDescent="0.45">
      <c r="A162" s="221"/>
      <c r="B162" s="211" t="str">
        <f>IF($B$54&lt;&gt;"Report complete","",IF(NOT(ISNUMBER(MATCH(Formulas!$O21,domestic,0))),"",IF(INDEX(firmnames,MATCH(Formulas!$O21,domestic,0))&lt;&gt;"PROVIDER NOT LISTED",INDEX(firmnames,MATCH(Formulas!$O21,domestic,0)),INDEX(firmnames,MATCH(Formulas!$O21,domestic,0)+1))))</f>
        <v/>
      </c>
      <c r="C162" s="166" t="str">
        <f>IF($B$54&lt;&gt;"Report complete","",IF(NOT(ISNUMBER(MATCH(Formulas!$O21,domestic,0))),"",INDEX(firmnames,MATCH(Formulas!$O21,domestic,0)+2)))</f>
        <v/>
      </c>
    </row>
    <row r="163" spans="1:3" x14ac:dyDescent="0.45">
      <c r="A163" s="221"/>
      <c r="B163" s="211" t="str">
        <f>IF($B$54&lt;&gt;"Report complete","",IF(NOT(ISNUMBER(MATCH(Formulas!$O22,domestic,0))),"",IF(INDEX(firmnames,MATCH(Formulas!$O22,domestic,0))&lt;&gt;"PROVIDER NOT LISTED",INDEX(firmnames,MATCH(Formulas!$O22,domestic,0)),INDEX(firmnames,MATCH(Formulas!$O22,domestic,0)+1))))</f>
        <v/>
      </c>
      <c r="C163" s="166" t="str">
        <f>IF($B$54&lt;&gt;"Report complete","",IF(NOT(ISNUMBER(MATCH(Formulas!$O22,domestic,0))),"",INDEX(firmnames,MATCH(Formulas!$O22,domestic,0)+2)))</f>
        <v/>
      </c>
    </row>
    <row r="164" spans="1:3" x14ac:dyDescent="0.45">
      <c r="A164" s="221"/>
      <c r="B164" s="211" t="str">
        <f>IF($B$54&lt;&gt;"Report complete","",IF(NOT(ISNUMBER(MATCH(Formulas!$O23,domestic,0))),"",IF(INDEX(firmnames,MATCH(Formulas!$O23,domestic,0))&lt;&gt;"PROVIDER NOT LISTED",INDEX(firmnames,MATCH(Formulas!$O23,domestic,0)),INDEX(firmnames,MATCH(Formulas!$O23,domestic,0)+1))))</f>
        <v/>
      </c>
      <c r="C164" s="166" t="str">
        <f>IF($B$54&lt;&gt;"Report complete","",IF(NOT(ISNUMBER(MATCH(Formulas!$O23,domestic,0))),"",INDEX(firmnames,MATCH(Formulas!$O23,domestic,0)+2)))</f>
        <v/>
      </c>
    </row>
    <row r="165" spans="1:3" x14ac:dyDescent="0.45">
      <c r="A165" s="221"/>
      <c r="B165" s="211" t="str">
        <f>IF($B$54&lt;&gt;"Report complete","",IF(NOT(ISNUMBER(MATCH(Formulas!$O24,domestic,0))),"",IF(INDEX(firmnames,MATCH(Formulas!$O24,domestic,0))&lt;&gt;"PROVIDER NOT LISTED",INDEX(firmnames,MATCH(Formulas!$O24,domestic,0)),INDEX(firmnames,MATCH(Formulas!$O24,domestic,0)+1))))</f>
        <v/>
      </c>
      <c r="C165" s="166" t="str">
        <f>IF($B$54&lt;&gt;"Report complete","",IF(NOT(ISNUMBER(MATCH(Formulas!$O24,domestic,0))),"",INDEX(firmnames,MATCH(Formulas!$O24,domestic,0)+2)))</f>
        <v/>
      </c>
    </row>
    <row r="166" spans="1:3" x14ac:dyDescent="0.45">
      <c r="A166" s="221"/>
      <c r="B166" s="211" t="str">
        <f>IF($B$54&lt;&gt;"Report complete","",IF(NOT(ISNUMBER(MATCH(Formulas!$O25,domestic,0))),"",IF(INDEX(firmnames,MATCH(Formulas!$O25,domestic,0))&lt;&gt;"PROVIDER NOT LISTED",INDEX(firmnames,MATCH(Formulas!$O25,domestic,0)),INDEX(firmnames,MATCH(Formulas!$O25,domestic,0)+1))))</f>
        <v/>
      </c>
      <c r="C166" s="166" t="str">
        <f>IF($B$54&lt;&gt;"Report complete","",IF(NOT(ISNUMBER(MATCH(Formulas!$O25,domestic,0))),"",INDEX(firmnames,MATCH(Formulas!$O25,domestic,0)+2)))</f>
        <v/>
      </c>
    </row>
    <row r="167" spans="1:3" x14ac:dyDescent="0.45">
      <c r="A167" s="221"/>
      <c r="B167" s="211" t="str">
        <f>IF($B$54&lt;&gt;"Report complete","",IF(NOT(ISNUMBER(MATCH(Formulas!$O26,domestic,0))),"",IF(INDEX(firmnames,MATCH(Formulas!$O26,domestic,0))&lt;&gt;"PROVIDER NOT LISTED",INDEX(firmnames,MATCH(Formulas!$O26,domestic,0)),INDEX(firmnames,MATCH(Formulas!$O26,domestic,0)+1))))</f>
        <v/>
      </c>
      <c r="C167" s="166" t="str">
        <f>IF($B$54&lt;&gt;"Report complete","",IF(NOT(ISNUMBER(MATCH(Formulas!$O26,domestic,0))),"",INDEX(firmnames,MATCH(Formulas!$O26,domestic,0)+2)))</f>
        <v/>
      </c>
    </row>
    <row r="168" spans="1:3" x14ac:dyDescent="0.45">
      <c r="A168" s="221"/>
      <c r="B168" s="211" t="str">
        <f>IF($B$54&lt;&gt;"Report complete","",IF(NOT(ISNUMBER(MATCH(Formulas!$O27,domestic,0))),"",IF(INDEX(firmnames,MATCH(Formulas!$O27,domestic,0))&lt;&gt;"PROVIDER NOT LISTED",INDEX(firmnames,MATCH(Formulas!$O27,domestic,0)),INDEX(firmnames,MATCH(Formulas!$O27,domestic,0)+1))))</f>
        <v/>
      </c>
      <c r="C168" s="166" t="str">
        <f>IF($B$54&lt;&gt;"Report complete","",IF(NOT(ISNUMBER(MATCH(Formulas!$O27,domestic,0))),"",INDEX(firmnames,MATCH(Formulas!$O27,domestic,0)+2)))</f>
        <v/>
      </c>
    </row>
    <row r="169" spans="1:3" x14ac:dyDescent="0.45">
      <c r="A169" s="221"/>
      <c r="B169" s="211" t="str">
        <f>IF($B$54&lt;&gt;"Report complete","",IF(NOT(ISNUMBER(MATCH(Formulas!$O28,domestic,0))),"",IF(INDEX(firmnames,MATCH(Formulas!$O28,domestic,0))&lt;&gt;"PROVIDER NOT LISTED",INDEX(firmnames,MATCH(Formulas!$O28,domestic,0)),INDEX(firmnames,MATCH(Formulas!$O28,domestic,0)+1))))</f>
        <v/>
      </c>
      <c r="C169" s="166" t="str">
        <f>IF($B$54&lt;&gt;"Report complete","",IF(NOT(ISNUMBER(MATCH(Formulas!$O28,domestic,0))),"",INDEX(firmnames,MATCH(Formulas!$O28,domestic,0)+2)))</f>
        <v/>
      </c>
    </row>
    <row r="170" spans="1:3" x14ac:dyDescent="0.45">
      <c r="A170" s="221"/>
      <c r="B170" s="211" t="str">
        <f>IF($B$54&lt;&gt;"Report complete","",IF(NOT(ISNUMBER(MATCH(Formulas!$O29,domestic,0))),"",IF(INDEX(firmnames,MATCH(Formulas!$O29,domestic,0))&lt;&gt;"PROVIDER NOT LISTED",INDEX(firmnames,MATCH(Formulas!$O29,domestic,0)),INDEX(firmnames,MATCH(Formulas!$O29,domestic,0)+1))))</f>
        <v/>
      </c>
      <c r="C170" s="166" t="str">
        <f>IF($B$54&lt;&gt;"Report complete","",IF(NOT(ISNUMBER(MATCH(Formulas!$O29,domestic,0))),"",INDEX(firmnames,MATCH(Formulas!$O29,domestic,0)+2)))</f>
        <v/>
      </c>
    </row>
    <row r="171" spans="1:3" x14ac:dyDescent="0.45">
      <c r="A171" s="221"/>
      <c r="B171" s="211" t="str">
        <f>IF($B$54&lt;&gt;"Report complete","",IF(NOT(ISNUMBER(MATCH(Formulas!$O30,domestic,0))),"",IF(INDEX(firmnames,MATCH(Formulas!$O30,domestic,0))&lt;&gt;"PROVIDER NOT LISTED",INDEX(firmnames,MATCH(Formulas!$O30,domestic,0)),INDEX(firmnames,MATCH(Formulas!$O30,domestic,0)+1))))</f>
        <v/>
      </c>
      <c r="C171" s="166" t="str">
        <f>IF($B$54&lt;&gt;"Report complete","",IF(NOT(ISNUMBER(MATCH(Formulas!$O30,domestic,0))),"",INDEX(firmnames,MATCH(Formulas!$O30,domestic,0)+2)))</f>
        <v/>
      </c>
    </row>
    <row r="172" spans="1:3" x14ac:dyDescent="0.45">
      <c r="A172" s="221"/>
      <c r="B172" s="211" t="str">
        <f>IF($B$54&lt;&gt;"Report complete","",IF(NOT(ISNUMBER(MATCH(Formulas!$O31,domestic,0))),"",IF(INDEX(firmnames,MATCH(Formulas!$O31,domestic,0))&lt;&gt;"PROVIDER NOT LISTED",INDEX(firmnames,MATCH(Formulas!$O31,domestic,0)),INDEX(firmnames,MATCH(Formulas!$O31,domestic,0)+1))))</f>
        <v/>
      </c>
      <c r="C172" s="166" t="str">
        <f>IF($B$54&lt;&gt;"Report complete","",IF(NOT(ISNUMBER(MATCH(Formulas!$O31,domestic,0))),"",INDEX(firmnames,MATCH(Formulas!$O31,domestic,0)+2)))</f>
        <v/>
      </c>
    </row>
    <row r="173" spans="1:3" x14ac:dyDescent="0.45">
      <c r="A173" s="221"/>
      <c r="B173" s="211" t="str">
        <f>IF($B$54&lt;&gt;"Report complete","",IF(NOT(ISNUMBER(MATCH(Formulas!$O32,domestic,0))),"",IF(INDEX(firmnames,MATCH(Formulas!$O32,domestic,0))&lt;&gt;"PROVIDER NOT LISTED",INDEX(firmnames,MATCH(Formulas!$O32,domestic,0)),INDEX(firmnames,MATCH(Formulas!$O32,domestic,0)+1))))</f>
        <v/>
      </c>
      <c r="C173" s="166" t="str">
        <f>IF($B$54&lt;&gt;"Report complete","",IF(NOT(ISNUMBER(MATCH(Formulas!$O32,domestic,0))),"",INDEX(firmnames,MATCH(Formulas!$O32,domestic,0)+2)))</f>
        <v/>
      </c>
    </row>
    <row r="174" spans="1:3" x14ac:dyDescent="0.45">
      <c r="A174" s="221"/>
      <c r="B174" s="211" t="str">
        <f>IF($B$54&lt;&gt;"Report complete","",IF(NOT(ISNUMBER(MATCH(Formulas!$O33,domestic,0))),"",IF(INDEX(firmnames,MATCH(Formulas!$O33,domestic,0))&lt;&gt;"PROVIDER NOT LISTED",INDEX(firmnames,MATCH(Formulas!$O33,domestic,0)),INDEX(firmnames,MATCH(Formulas!$O33,domestic,0)+1))))</f>
        <v/>
      </c>
      <c r="C174" s="166" t="str">
        <f>IF($B$54&lt;&gt;"Report complete","",IF(NOT(ISNUMBER(MATCH(Formulas!$O33,domestic,0))),"",INDEX(firmnames,MATCH(Formulas!$O33,domestic,0)+2)))</f>
        <v/>
      </c>
    </row>
    <row r="175" spans="1:3" x14ac:dyDescent="0.45">
      <c r="A175" s="221"/>
      <c r="B175" s="211" t="str">
        <f>IF($B$54&lt;&gt;"Report complete","",IF(NOT(ISNUMBER(MATCH(Formulas!$O34,domestic,0))),"",IF(INDEX(firmnames,MATCH(Formulas!$O34,domestic,0))&lt;&gt;"PROVIDER NOT LISTED",INDEX(firmnames,MATCH(Formulas!$O34,domestic,0)),INDEX(firmnames,MATCH(Formulas!$O34,domestic,0)+1))))</f>
        <v/>
      </c>
      <c r="C175" s="166" t="str">
        <f>IF($B$54&lt;&gt;"Report complete","",IF(NOT(ISNUMBER(MATCH(Formulas!$O34,domestic,0))),"",INDEX(firmnames,MATCH(Formulas!$O34,domestic,0)+2)))</f>
        <v/>
      </c>
    </row>
    <row r="176" spans="1:3" x14ac:dyDescent="0.45">
      <c r="A176" s="221"/>
      <c r="B176" s="211" t="str">
        <f>IF($B$54&lt;&gt;"Report complete","",IF(NOT(ISNUMBER(MATCH(Formulas!$O35,domestic,0))),"",IF(INDEX(firmnames,MATCH(Formulas!$O35,domestic,0))&lt;&gt;"PROVIDER NOT LISTED",INDEX(firmnames,MATCH(Formulas!$O35,domestic,0)),INDEX(firmnames,MATCH(Formulas!$O35,domestic,0)+1))))</f>
        <v/>
      </c>
      <c r="C176" s="166" t="str">
        <f>IF($B$54&lt;&gt;"Report complete","",IF(NOT(ISNUMBER(MATCH(Formulas!$O35,domestic,0))),"",INDEX(firmnames,MATCH(Formulas!$O35,domestic,0)+2)))</f>
        <v/>
      </c>
    </row>
    <row r="177" spans="1:3" x14ac:dyDescent="0.45">
      <c r="A177" s="221"/>
      <c r="B177" s="211" t="str">
        <f>IF($B$54&lt;&gt;"Report complete","",IF(NOT(ISNUMBER(MATCH(Formulas!$O36,domestic,0))),"",IF(INDEX(firmnames,MATCH(Formulas!$O36,domestic,0))&lt;&gt;"PROVIDER NOT LISTED",INDEX(firmnames,MATCH(Formulas!$O36,domestic,0)),INDEX(firmnames,MATCH(Formulas!$O36,domestic,0)+1))))</f>
        <v/>
      </c>
      <c r="C177" s="166" t="str">
        <f>IF($B$54&lt;&gt;"Report complete","",IF(NOT(ISNUMBER(MATCH(Formulas!$O36,domestic,0))),"",INDEX(firmnames,MATCH(Formulas!$O36,domestic,0)+2)))</f>
        <v/>
      </c>
    </row>
    <row r="178" spans="1:3" x14ac:dyDescent="0.45">
      <c r="A178" s="221"/>
      <c r="B178" s="211" t="str">
        <f>IF($B$54&lt;&gt;"Report complete","",IF(NOT(ISNUMBER(MATCH(Formulas!$O37,domestic,0))),"",IF(INDEX(firmnames,MATCH(Formulas!$O37,domestic,0))&lt;&gt;"PROVIDER NOT LISTED",INDEX(firmnames,MATCH(Formulas!$O37,domestic,0)),INDEX(firmnames,MATCH(Formulas!$O37,domestic,0)+1))))</f>
        <v/>
      </c>
      <c r="C178" s="166" t="str">
        <f>IF($B$54&lt;&gt;"Report complete","",IF(NOT(ISNUMBER(MATCH(Formulas!$O37,domestic,0))),"",INDEX(firmnames,MATCH(Formulas!$O37,domestic,0)+2)))</f>
        <v/>
      </c>
    </row>
    <row r="179" spans="1:3" x14ac:dyDescent="0.45">
      <c r="A179" s="221"/>
      <c r="B179" s="211" t="str">
        <f>IF($B$54&lt;&gt;"Report complete","",IF(NOT(ISNUMBER(MATCH(Formulas!$O38,domestic,0))),"",IF(INDEX(firmnames,MATCH(Formulas!$O38,domestic,0))&lt;&gt;"PROVIDER NOT LISTED",INDEX(firmnames,MATCH(Formulas!$O38,domestic,0)),INDEX(firmnames,MATCH(Formulas!$O38,domestic,0)+1))))</f>
        <v/>
      </c>
      <c r="C179" s="166" t="str">
        <f>IF($B$54&lt;&gt;"Report complete","",IF(NOT(ISNUMBER(MATCH(Formulas!$O38,domestic,0))),"",INDEX(firmnames,MATCH(Formulas!$O38,domestic,0)+2)))</f>
        <v/>
      </c>
    </row>
    <row r="180" spans="1:3" x14ac:dyDescent="0.45">
      <c r="A180" s="221"/>
      <c r="B180" s="211" t="str">
        <f>IF($B$54&lt;&gt;"Report complete","",IF(NOT(ISNUMBER(MATCH(Formulas!$O39,domestic,0))),"",IF(INDEX(firmnames,MATCH(Formulas!$O39,domestic,0))&lt;&gt;"PROVIDER NOT LISTED",INDEX(firmnames,MATCH(Formulas!$O39,domestic,0)),INDEX(firmnames,MATCH(Formulas!$O39,domestic,0)+1))))</f>
        <v/>
      </c>
      <c r="C180" s="166" t="str">
        <f>IF($B$54&lt;&gt;"Report complete","",IF(NOT(ISNUMBER(MATCH(Formulas!$O39,domestic,0))),"",INDEX(firmnames,MATCH(Formulas!$O39,domestic,0)+2)))</f>
        <v/>
      </c>
    </row>
    <row r="181" spans="1:3" x14ac:dyDescent="0.45">
      <c r="A181" s="221"/>
      <c r="B181" s="211" t="str">
        <f>IF($B$54&lt;&gt;"Report complete","",IF(NOT(ISNUMBER(MATCH(Formulas!$O40,domestic,0))),"",IF(INDEX(firmnames,MATCH(Formulas!$O40,domestic,0))&lt;&gt;"PROVIDER NOT LISTED",INDEX(firmnames,MATCH(Formulas!$O40,domestic,0)),INDEX(firmnames,MATCH(Formulas!$O40,domestic,0)+1))))</f>
        <v/>
      </c>
      <c r="C181" s="166" t="str">
        <f>IF($B$54&lt;&gt;"Report complete","",IF(NOT(ISNUMBER(MATCH(Formulas!$O40,domestic,0))),"",INDEX(firmnames,MATCH(Formulas!$O40,domestic,0)+2)))</f>
        <v/>
      </c>
    </row>
    <row r="182" spans="1:3" x14ac:dyDescent="0.45">
      <c r="A182" s="221"/>
      <c r="B182" s="211" t="str">
        <f>IF($B$54&lt;&gt;"Report complete","",IF(NOT(ISNUMBER(MATCH(Formulas!$O41,domestic,0))),"",IF(INDEX(firmnames,MATCH(Formulas!$O41,domestic,0))&lt;&gt;"PROVIDER NOT LISTED",INDEX(firmnames,MATCH(Formulas!$O41,domestic,0)),INDEX(firmnames,MATCH(Formulas!$O41,domestic,0)+1))))</f>
        <v/>
      </c>
      <c r="C182" s="166" t="str">
        <f>IF($B$54&lt;&gt;"Report complete","",IF(NOT(ISNUMBER(MATCH(Formulas!$O41,domestic,0))),"",INDEX(firmnames,MATCH(Formulas!$O41,domestic,0)+2)))</f>
        <v/>
      </c>
    </row>
    <row r="183" spans="1:3" x14ac:dyDescent="0.45">
      <c r="A183" s="221"/>
      <c r="B183" s="211" t="str">
        <f>IF($B$54&lt;&gt;"Report complete","",IF(NOT(ISNUMBER(MATCH(Formulas!$O42,domestic,0))),"",IF(INDEX(firmnames,MATCH(Formulas!$O42,domestic,0))&lt;&gt;"PROVIDER NOT LISTED",INDEX(firmnames,MATCH(Formulas!$O42,domestic,0)),INDEX(firmnames,MATCH(Formulas!$O42,domestic,0)+1))))</f>
        <v/>
      </c>
      <c r="C183" s="166" t="str">
        <f>IF($B$54&lt;&gt;"Report complete","",IF(NOT(ISNUMBER(MATCH(Formulas!$O42,domestic,0))),"",INDEX(firmnames,MATCH(Formulas!$O42,domestic,0)+2)))</f>
        <v/>
      </c>
    </row>
    <row r="184" spans="1:3" x14ac:dyDescent="0.45">
      <c r="A184" s="221"/>
      <c r="B184" s="211" t="str">
        <f>IF($B$54&lt;&gt;"Report complete","",IF(NOT(ISNUMBER(MATCH(Formulas!$O43,domestic,0))),"",IF(INDEX(firmnames,MATCH(Formulas!$O43,domestic,0))&lt;&gt;"PROVIDER NOT LISTED",INDEX(firmnames,MATCH(Formulas!$O43,domestic,0)),INDEX(firmnames,MATCH(Formulas!$O43,domestic,0)+1))))</f>
        <v/>
      </c>
      <c r="C184" s="166" t="str">
        <f>IF($B$54&lt;&gt;"Report complete","",IF(NOT(ISNUMBER(MATCH(Formulas!$O43,domestic,0))),"",INDEX(firmnames,MATCH(Formulas!$O43,domestic,0)+2)))</f>
        <v/>
      </c>
    </row>
    <row r="185" spans="1:3" x14ac:dyDescent="0.45">
      <c r="A185" s="221"/>
      <c r="B185" s="211" t="str">
        <f>IF($B$54&lt;&gt;"Report complete","",IF(NOT(ISNUMBER(MATCH(Formulas!$O44,domestic,0))),"",IF(INDEX(firmnames,MATCH(Formulas!$O44,domestic,0))&lt;&gt;"PROVIDER NOT LISTED",INDEX(firmnames,MATCH(Formulas!$O44,domestic,0)),INDEX(firmnames,MATCH(Formulas!$O44,domestic,0)+1))))</f>
        <v/>
      </c>
      <c r="C185" s="166" t="str">
        <f>IF($B$54&lt;&gt;"Report complete","",IF(NOT(ISNUMBER(MATCH(Formulas!$O44,domestic,0))),"",INDEX(firmnames,MATCH(Formulas!$O44,domestic,0)+2)))</f>
        <v/>
      </c>
    </row>
    <row r="186" spans="1:3" x14ac:dyDescent="0.45">
      <c r="A186" s="221"/>
      <c r="B186" s="211" t="str">
        <f>IF($B$54&lt;&gt;"Report complete","",IF(NOT(ISNUMBER(MATCH(Formulas!$O45,domestic,0))),"",IF(INDEX(firmnames,MATCH(Formulas!$O45,domestic,0))&lt;&gt;"PROVIDER NOT LISTED",INDEX(firmnames,MATCH(Formulas!$O45,domestic,0)),INDEX(firmnames,MATCH(Formulas!$O45,domestic,0)+1))))</f>
        <v/>
      </c>
      <c r="C186" s="166" t="str">
        <f>IF($B$54&lt;&gt;"Report complete","",IF(NOT(ISNUMBER(MATCH(Formulas!$O45,domestic,0))),"",INDEX(firmnames,MATCH(Formulas!$O45,domestic,0)+2)))</f>
        <v/>
      </c>
    </row>
    <row r="187" spans="1:3" x14ac:dyDescent="0.45">
      <c r="A187" s="221"/>
      <c r="B187" s="211" t="str">
        <f>IF($B$54&lt;&gt;"Report complete","",IF(NOT(ISNUMBER(MATCH(Formulas!$O46,domestic,0))),"",IF(INDEX(firmnames,MATCH(Formulas!$O46,domestic,0))&lt;&gt;"PROVIDER NOT LISTED",INDEX(firmnames,MATCH(Formulas!$O46,domestic,0)),INDEX(firmnames,MATCH(Formulas!$O46,domestic,0)+1))))</f>
        <v/>
      </c>
      <c r="C187" s="166" t="str">
        <f>IF($B$54&lt;&gt;"Report complete","",IF(NOT(ISNUMBER(MATCH(Formulas!$O46,domestic,0))),"",INDEX(firmnames,MATCH(Formulas!$O46,domestic,0)+2)))</f>
        <v/>
      </c>
    </row>
    <row r="188" spans="1:3" x14ac:dyDescent="0.45">
      <c r="A188" s="221"/>
      <c r="B188" s="211" t="str">
        <f>IF($B$54&lt;&gt;"Report complete","",IF(NOT(ISNUMBER(MATCH(Formulas!$O47,domestic,0))),"",IF(INDEX(firmnames,MATCH(Formulas!$O47,domestic,0))&lt;&gt;"PROVIDER NOT LISTED",INDEX(firmnames,MATCH(Formulas!$O47,domestic,0)),INDEX(firmnames,MATCH(Formulas!$O47,domestic,0)+1))))</f>
        <v/>
      </c>
      <c r="C188" s="166" t="str">
        <f>IF($B$54&lt;&gt;"Report complete","",IF(NOT(ISNUMBER(MATCH(Formulas!$O47,domestic,0))),"",INDEX(firmnames,MATCH(Formulas!$O47,domestic,0)+2)))</f>
        <v/>
      </c>
    </row>
    <row r="189" spans="1:3" x14ac:dyDescent="0.45">
      <c r="A189" s="221"/>
      <c r="B189" s="209" t="str">
        <f>IF($B$54&lt;&gt;"Report complete","",IF(NOT(ISNUMBER(MATCH(Formulas!$O48,domestic,0))),"",IF(INDEX(firmnames,MATCH(Formulas!$O48,domestic,0))&lt;&gt;"PROVIDER NOT LISTED",INDEX(firmnames,MATCH(Formulas!$O48,domestic,0)),INDEX(firmnames,MATCH(Formulas!$O48,domestic,0)+1))))</f>
        <v/>
      </c>
      <c r="C189" s="166" t="str">
        <f>IF($B$54&lt;&gt;"Report complete","",IF(NOT(ISNUMBER(MATCH(Formulas!$O48,domestic,0))),"",INDEX(firmnames,MATCH(Formulas!$O48,domestic,0)+2)))</f>
        <v/>
      </c>
    </row>
    <row r="190" spans="1:3" ht="25" thickBot="1" x14ac:dyDescent="0.5">
      <c r="A190" s="225"/>
      <c r="B190" s="171"/>
      <c r="C190" s="172"/>
    </row>
  </sheetData>
  <sheetProtection algorithmName="SHA-256" hashValue="ag+XlZyvoG0ImHXHsA9LmQnuNy3Zy5C8nsWdHeho5KQ=" saltValue="DaU0PiogO9VkaJvKtwBpSA==" spinCount="100000" sheet="1" objects="1" scenarios="1"/>
  <conditionalFormatting sqref="A143:C143">
    <cfRule type="expression" dxfId="66" priority="78">
      <formula>$B143=""</formula>
    </cfRule>
  </conditionalFormatting>
  <conditionalFormatting sqref="A144:C144">
    <cfRule type="expression" dxfId="65" priority="77">
      <formula>$B144=""</formula>
    </cfRule>
  </conditionalFormatting>
  <conditionalFormatting sqref="A145:C145">
    <cfRule type="expression" dxfId="64" priority="76">
      <formula>$B145=""</formula>
    </cfRule>
  </conditionalFormatting>
  <conditionalFormatting sqref="A146:C146">
    <cfRule type="expression" dxfId="63" priority="75">
      <formula>$B146=""</formula>
    </cfRule>
  </conditionalFormatting>
  <conditionalFormatting sqref="A147:C147">
    <cfRule type="expression" dxfId="62" priority="74">
      <formula>$B147=""</formula>
    </cfRule>
  </conditionalFormatting>
  <conditionalFormatting sqref="A148:C148">
    <cfRule type="expression" dxfId="61" priority="73">
      <formula>$B148=""</formula>
    </cfRule>
  </conditionalFormatting>
  <conditionalFormatting sqref="A149:C149">
    <cfRule type="expression" dxfId="60" priority="72">
      <formula>$B149=""</formula>
    </cfRule>
  </conditionalFormatting>
  <conditionalFormatting sqref="A150:C150">
    <cfRule type="expression" dxfId="59" priority="71">
      <formula>$B150=""</formula>
    </cfRule>
  </conditionalFormatting>
  <conditionalFormatting sqref="A151:C151">
    <cfRule type="expression" dxfId="58" priority="70">
      <formula>$B151=""</formula>
    </cfRule>
  </conditionalFormatting>
  <conditionalFormatting sqref="A152:C152">
    <cfRule type="expression" dxfId="57" priority="69">
      <formula>$B152=""</formula>
    </cfRule>
  </conditionalFormatting>
  <conditionalFormatting sqref="A153:C153">
    <cfRule type="expression" dxfId="56" priority="68">
      <formula>$B153=""</formula>
    </cfRule>
  </conditionalFormatting>
  <conditionalFormatting sqref="A154:C154">
    <cfRule type="expression" dxfId="55" priority="67">
      <formula>$B154=""</formula>
    </cfRule>
  </conditionalFormatting>
  <conditionalFormatting sqref="A155:C155">
    <cfRule type="expression" dxfId="54" priority="66">
      <formula>$B155=""</formula>
    </cfRule>
  </conditionalFormatting>
  <conditionalFormatting sqref="A156:C156">
    <cfRule type="expression" dxfId="53" priority="65">
      <formula>$B156=""</formula>
    </cfRule>
  </conditionalFormatting>
  <conditionalFormatting sqref="A157:C157">
    <cfRule type="expression" dxfId="52" priority="64">
      <formula>$B157=""</formula>
    </cfRule>
  </conditionalFormatting>
  <conditionalFormatting sqref="A158:C158">
    <cfRule type="expression" dxfId="51" priority="63">
      <formula>$B158=""</formula>
    </cfRule>
  </conditionalFormatting>
  <conditionalFormatting sqref="A159:C159">
    <cfRule type="expression" dxfId="50" priority="62">
      <formula>$B159=""</formula>
    </cfRule>
  </conditionalFormatting>
  <conditionalFormatting sqref="A160:C160">
    <cfRule type="expression" dxfId="49" priority="61">
      <formula>$B160=""</formula>
    </cfRule>
  </conditionalFormatting>
  <conditionalFormatting sqref="A161:C161">
    <cfRule type="expression" dxfId="48" priority="60">
      <formula>$B161=""</formula>
    </cfRule>
  </conditionalFormatting>
  <conditionalFormatting sqref="A162:C162">
    <cfRule type="expression" dxfId="47" priority="59">
      <formula>$B162=""</formula>
    </cfRule>
  </conditionalFormatting>
  <conditionalFormatting sqref="A163:C163">
    <cfRule type="expression" dxfId="46" priority="58">
      <formula>$B163=""</formula>
    </cfRule>
  </conditionalFormatting>
  <conditionalFormatting sqref="A164:C164">
    <cfRule type="expression" dxfId="45" priority="57">
      <formula>$B164=""</formula>
    </cfRule>
  </conditionalFormatting>
  <conditionalFormatting sqref="A165:C165">
    <cfRule type="expression" dxfId="44" priority="56">
      <formula>$B165=""</formula>
    </cfRule>
  </conditionalFormatting>
  <conditionalFormatting sqref="A166:C166">
    <cfRule type="expression" dxfId="43" priority="55">
      <formula>$B166=""</formula>
    </cfRule>
  </conditionalFormatting>
  <conditionalFormatting sqref="A167:C167">
    <cfRule type="expression" dxfId="42" priority="54">
      <formula>$B167=""</formula>
    </cfRule>
  </conditionalFormatting>
  <conditionalFormatting sqref="A168:C168">
    <cfRule type="expression" dxfId="41" priority="53">
      <formula>$B168=""</formula>
    </cfRule>
  </conditionalFormatting>
  <conditionalFormatting sqref="A169:C169">
    <cfRule type="expression" dxfId="40" priority="52">
      <formula>$B169=""</formula>
    </cfRule>
  </conditionalFormatting>
  <conditionalFormatting sqref="A170:C170">
    <cfRule type="expression" dxfId="39" priority="51">
      <formula>$B170=""</formula>
    </cfRule>
  </conditionalFormatting>
  <conditionalFormatting sqref="A171:C171">
    <cfRule type="expression" dxfId="38" priority="50">
      <formula>$B171=""</formula>
    </cfRule>
  </conditionalFormatting>
  <conditionalFormatting sqref="A172:C172">
    <cfRule type="expression" dxfId="37" priority="49">
      <formula>$B172=""</formula>
    </cfRule>
  </conditionalFormatting>
  <conditionalFormatting sqref="A173:C173">
    <cfRule type="expression" dxfId="36" priority="48">
      <formula>$B173=""</formula>
    </cfRule>
  </conditionalFormatting>
  <conditionalFormatting sqref="A174:C174">
    <cfRule type="expression" dxfId="35" priority="47">
      <formula>$B174=""</formula>
    </cfRule>
  </conditionalFormatting>
  <conditionalFormatting sqref="A175:C175">
    <cfRule type="expression" dxfId="34" priority="46">
      <formula>$B175=""</formula>
    </cfRule>
  </conditionalFormatting>
  <conditionalFormatting sqref="A176:C176">
    <cfRule type="expression" dxfId="33" priority="45">
      <formula>$B176=""</formula>
    </cfRule>
  </conditionalFormatting>
  <conditionalFormatting sqref="A177:C177">
    <cfRule type="expression" dxfId="32" priority="44">
      <formula>$B177=""</formula>
    </cfRule>
  </conditionalFormatting>
  <conditionalFormatting sqref="A178:C178">
    <cfRule type="expression" dxfId="31" priority="43">
      <formula>$B178=""</formula>
    </cfRule>
  </conditionalFormatting>
  <conditionalFormatting sqref="A179:C179">
    <cfRule type="expression" dxfId="30" priority="42">
      <formula>$B179=""</formula>
    </cfRule>
  </conditionalFormatting>
  <conditionalFormatting sqref="A180:C180">
    <cfRule type="expression" dxfId="29" priority="41">
      <formula>$B180=""</formula>
    </cfRule>
  </conditionalFormatting>
  <conditionalFormatting sqref="A181:C181">
    <cfRule type="expression" dxfId="28" priority="40">
      <formula>$B181=""</formula>
    </cfRule>
  </conditionalFormatting>
  <conditionalFormatting sqref="A182:C182">
    <cfRule type="expression" dxfId="27" priority="39">
      <formula>$B182=""</formula>
    </cfRule>
  </conditionalFormatting>
  <conditionalFormatting sqref="A183:C183">
    <cfRule type="expression" dxfId="26" priority="38">
      <formula>$B183=""</formula>
    </cfRule>
  </conditionalFormatting>
  <conditionalFormatting sqref="A184:C184">
    <cfRule type="expression" dxfId="25" priority="37">
      <formula>$B184=""</formula>
    </cfRule>
  </conditionalFormatting>
  <conditionalFormatting sqref="A185:C185">
    <cfRule type="expression" dxfId="24" priority="36">
      <formula>$B185=""</formula>
    </cfRule>
  </conditionalFormatting>
  <conditionalFormatting sqref="A186:C186">
    <cfRule type="expression" dxfId="23" priority="35">
      <formula>$B186=""</formula>
    </cfRule>
  </conditionalFormatting>
  <conditionalFormatting sqref="A187:C187">
    <cfRule type="expression" dxfId="22" priority="34">
      <formula>$B187=""</formula>
    </cfRule>
  </conditionalFormatting>
  <conditionalFormatting sqref="A188:C188">
    <cfRule type="expression" dxfId="21" priority="33">
      <formula>$B188=""</formula>
    </cfRule>
  </conditionalFormatting>
  <conditionalFormatting sqref="A189:C189">
    <cfRule type="expression" dxfId="20" priority="32">
      <formula>$B189=""</formula>
    </cfRule>
  </conditionalFormatting>
  <conditionalFormatting sqref="A32:C46">
    <cfRule type="expression" dxfId="19" priority="17">
      <formula>$B$30&lt;&gt;"Proceed to commentary"</formula>
    </cfRule>
  </conditionalFormatting>
  <conditionalFormatting sqref="A50:C52">
    <cfRule type="expression" dxfId="18" priority="16">
      <formula>$B$48&lt;&gt;"Proceed to final confirmation"</formula>
    </cfRule>
  </conditionalFormatting>
  <conditionalFormatting sqref="A56:C190">
    <cfRule type="expression" dxfId="17" priority="15">
      <formula>$B$54&lt;&gt;"Report complete"</formula>
    </cfRule>
  </conditionalFormatting>
  <conditionalFormatting sqref="A31:C31">
    <cfRule type="expression" dxfId="16" priority="13">
      <formula>$B30&lt;&gt;"Proceed to commentary"</formula>
    </cfRule>
  </conditionalFormatting>
  <conditionalFormatting sqref="A47:C47">
    <cfRule type="expression" dxfId="15" priority="11">
      <formula>$B30&lt;&gt;"Proceed to commentary"</formula>
    </cfRule>
  </conditionalFormatting>
  <conditionalFormatting sqref="A49:C49">
    <cfRule type="expression" dxfId="14" priority="10">
      <formula>$B48&lt;&gt;"Proceed to final confirmation"</formula>
    </cfRule>
  </conditionalFormatting>
  <conditionalFormatting sqref="A53:C53">
    <cfRule type="expression" dxfId="13" priority="9">
      <formula>$B48&lt;&gt;"Proceed to final confirmation"</formula>
    </cfRule>
  </conditionalFormatting>
  <conditionalFormatting sqref="A55:C55">
    <cfRule type="expression" dxfId="12" priority="8">
      <formula>$B54&lt;&gt;"Report complete"</formula>
    </cfRule>
  </conditionalFormatting>
  <conditionalFormatting sqref="A1:A190">
    <cfRule type="expression" dxfId="11" priority="1">
      <formula>$B$1="Legal Services Expenditure Report 2020-21"</formula>
    </cfRule>
  </conditionalFormatting>
  <dataValidations count="1">
    <dataValidation type="list" allowBlank="1" showInputMessage="1" showErrorMessage="1" sqref="C47 C29 C53" xr:uid="{00000000-0002-0000-0100-000000000000}">
      <formula1>INDIRECT(E29)</formula1>
    </dataValidation>
  </dataValidations>
  <pageMargins left="0.7" right="0.7" top="0.75" bottom="0.75" header="0.3" footer="0.3"/>
  <pageSetup paperSize="9" scale="78" fitToHeight="0" orientation="landscape" r:id="rId1"/>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01"/>
  <sheetViews>
    <sheetView zoomScaleNormal="100" workbookViewId="0">
      <selection activeCell="J126" sqref="J126"/>
    </sheetView>
  </sheetViews>
  <sheetFormatPr defaultRowHeight="14.5" x14ac:dyDescent="0.35"/>
  <cols>
    <col min="1" max="1" width="9.1796875" customWidth="1"/>
    <col min="2" max="2" width="69.81640625" customWidth="1"/>
    <col min="3" max="3" width="29.7265625" customWidth="1"/>
    <col min="4" max="4" width="17.453125" customWidth="1"/>
    <col min="5" max="5" width="19.453125" customWidth="1"/>
    <col min="6" max="6" width="14.26953125" customWidth="1"/>
    <col min="7" max="7" width="14" customWidth="1"/>
    <col min="8" max="8" width="14.7265625" customWidth="1"/>
    <col min="9" max="9" width="12.81640625" customWidth="1"/>
    <col min="14" max="14" width="34.81640625" customWidth="1"/>
    <col min="15" max="15" width="32.453125" customWidth="1"/>
    <col min="18" max="18" width="15.7265625" customWidth="1"/>
  </cols>
  <sheetData>
    <row r="1" spans="2:18" ht="15" thickBot="1" x14ac:dyDescent="0.4">
      <c r="B1" s="104" t="s">
        <v>139</v>
      </c>
      <c r="C1" s="104" t="s">
        <v>140</v>
      </c>
      <c r="D1" s="104" t="s">
        <v>553</v>
      </c>
      <c r="E1" s="104" t="s">
        <v>554</v>
      </c>
      <c r="F1" s="104" t="s">
        <v>487</v>
      </c>
      <c r="G1" s="104" t="s">
        <v>489</v>
      </c>
      <c r="H1" s="104" t="s">
        <v>488</v>
      </c>
      <c r="I1" s="104" t="s">
        <v>592</v>
      </c>
      <c r="N1" t="s">
        <v>199</v>
      </c>
      <c r="P1" t="s">
        <v>606</v>
      </c>
      <c r="Q1" t="s">
        <v>605</v>
      </c>
      <c r="R1" t="s">
        <v>607</v>
      </c>
    </row>
    <row r="2" spans="2:18" x14ac:dyDescent="0.35">
      <c r="B2" s="247" t="s">
        <v>659</v>
      </c>
      <c r="C2" s="248" t="s">
        <v>557</v>
      </c>
      <c r="D2" s="248" t="s">
        <v>557</v>
      </c>
      <c r="E2" s="248" t="s">
        <v>557</v>
      </c>
      <c r="F2" s="248">
        <v>0</v>
      </c>
      <c r="G2" s="248">
        <v>0</v>
      </c>
      <c r="H2" s="248">
        <v>0</v>
      </c>
      <c r="I2" s="251">
        <v>0</v>
      </c>
      <c r="K2" t="s">
        <v>141</v>
      </c>
      <c r="L2" t="s">
        <v>555</v>
      </c>
      <c r="N2" s="244" t="s">
        <v>200</v>
      </c>
      <c r="O2" s="254" t="s">
        <v>492</v>
      </c>
      <c r="P2" s="247" t="s">
        <v>555</v>
      </c>
      <c r="Q2" s="244" t="s">
        <v>141</v>
      </c>
      <c r="R2" s="244" t="s">
        <v>608</v>
      </c>
    </row>
    <row r="3" spans="2:18" ht="15" thickBot="1" x14ac:dyDescent="0.4">
      <c r="B3" s="92" t="s">
        <v>201</v>
      </c>
      <c r="C3" s="249" t="s">
        <v>202</v>
      </c>
      <c r="D3" s="249" t="s">
        <v>551</v>
      </c>
      <c r="E3" s="249" t="s">
        <v>141</v>
      </c>
      <c r="F3" s="249">
        <v>5510516</v>
      </c>
      <c r="G3" s="249">
        <v>5056803</v>
      </c>
      <c r="H3" s="249">
        <v>453713</v>
      </c>
      <c r="I3" s="252">
        <v>513.29946578299996</v>
      </c>
      <c r="K3" t="s">
        <v>142</v>
      </c>
      <c r="N3" s="245" t="s">
        <v>662</v>
      </c>
      <c r="O3" s="255" t="s">
        <v>493</v>
      </c>
      <c r="P3" s="93"/>
      <c r="Q3" s="245" t="s">
        <v>142</v>
      </c>
      <c r="R3" s="245" t="s">
        <v>609</v>
      </c>
    </row>
    <row r="4" spans="2:18" ht="15" thickBot="1" x14ac:dyDescent="0.4">
      <c r="B4" s="92" t="s">
        <v>203</v>
      </c>
      <c r="C4" s="249" t="s">
        <v>204</v>
      </c>
      <c r="D4" s="249" t="s">
        <v>551</v>
      </c>
      <c r="E4" s="249" t="s">
        <v>141</v>
      </c>
      <c r="F4" s="249">
        <v>2735785</v>
      </c>
      <c r="G4" s="249">
        <v>1769012</v>
      </c>
      <c r="H4" s="249">
        <v>966773</v>
      </c>
      <c r="I4" s="252">
        <v>2995.5326774893001</v>
      </c>
      <c r="N4" s="245" t="s">
        <v>663</v>
      </c>
      <c r="O4" s="255" t="s">
        <v>494</v>
      </c>
      <c r="Q4" s="246"/>
      <c r="R4" s="246"/>
    </row>
    <row r="5" spans="2:18" x14ac:dyDescent="0.35">
      <c r="B5" s="92" t="s">
        <v>205</v>
      </c>
      <c r="C5" s="249" t="s">
        <v>206</v>
      </c>
      <c r="D5" s="249" t="s">
        <v>552</v>
      </c>
      <c r="E5" s="249" t="s">
        <v>142</v>
      </c>
      <c r="F5" s="249">
        <v>6273953</v>
      </c>
      <c r="G5" s="249">
        <v>1600837</v>
      </c>
      <c r="H5" s="249">
        <v>4673116</v>
      </c>
      <c r="I5" s="252">
        <v>0</v>
      </c>
      <c r="N5" s="245" t="s">
        <v>754</v>
      </c>
      <c r="O5" s="255" t="s">
        <v>495</v>
      </c>
    </row>
    <row r="6" spans="2:18" x14ac:dyDescent="0.35">
      <c r="B6" s="92" t="s">
        <v>207</v>
      </c>
      <c r="C6" s="249" t="s">
        <v>208</v>
      </c>
      <c r="D6" s="249" t="s">
        <v>552</v>
      </c>
      <c r="E6" s="249" t="s">
        <v>142</v>
      </c>
      <c r="F6" s="249">
        <v>357244</v>
      </c>
      <c r="G6" s="249">
        <v>98255</v>
      </c>
      <c r="H6" s="249">
        <v>258989</v>
      </c>
      <c r="I6" s="252">
        <v>0</v>
      </c>
      <c r="N6" s="245" t="s">
        <v>183</v>
      </c>
      <c r="O6" s="255" t="s">
        <v>496</v>
      </c>
    </row>
    <row r="7" spans="2:18" x14ac:dyDescent="0.35">
      <c r="B7" s="92" t="s">
        <v>209</v>
      </c>
      <c r="C7" s="249" t="s">
        <v>210</v>
      </c>
      <c r="D7" s="249" t="s">
        <v>552</v>
      </c>
      <c r="E7" s="249" t="s">
        <v>142</v>
      </c>
      <c r="F7" s="249">
        <v>49064</v>
      </c>
      <c r="G7" s="249">
        <v>44068</v>
      </c>
      <c r="H7" s="249">
        <v>4996</v>
      </c>
      <c r="I7" s="252">
        <v>0</v>
      </c>
      <c r="N7" s="245" t="s">
        <v>166</v>
      </c>
      <c r="O7" s="255" t="s">
        <v>497</v>
      </c>
    </row>
    <row r="8" spans="2:18" x14ac:dyDescent="0.35">
      <c r="B8" s="92" t="s">
        <v>211</v>
      </c>
      <c r="C8" s="249" t="s">
        <v>212</v>
      </c>
      <c r="D8" s="249" t="s">
        <v>551</v>
      </c>
      <c r="E8" s="249" t="s">
        <v>141</v>
      </c>
      <c r="F8" s="249">
        <v>7840</v>
      </c>
      <c r="G8" s="249">
        <v>0</v>
      </c>
      <c r="H8" s="249">
        <v>7840</v>
      </c>
      <c r="I8" s="252">
        <v>0</v>
      </c>
      <c r="N8" s="245" t="s">
        <v>57</v>
      </c>
      <c r="O8" s="255" t="s">
        <v>498</v>
      </c>
    </row>
    <row r="9" spans="2:18" x14ac:dyDescent="0.35">
      <c r="B9" s="92" t="s">
        <v>151</v>
      </c>
      <c r="C9" s="249" t="s">
        <v>135</v>
      </c>
      <c r="D9" s="249" t="s">
        <v>551</v>
      </c>
      <c r="E9" s="249" t="s">
        <v>141</v>
      </c>
      <c r="F9" s="249">
        <v>67291990</v>
      </c>
      <c r="G9" s="249">
        <v>18194365</v>
      </c>
      <c r="H9" s="249">
        <v>49097625</v>
      </c>
      <c r="I9" s="252">
        <v>43560.848288867026</v>
      </c>
      <c r="J9" t="s">
        <v>817</v>
      </c>
      <c r="N9" s="245" t="s">
        <v>173</v>
      </c>
      <c r="O9" s="255" t="s">
        <v>499</v>
      </c>
    </row>
    <row r="10" spans="2:18" x14ac:dyDescent="0.35">
      <c r="B10" s="92" t="s">
        <v>213</v>
      </c>
      <c r="C10" s="249" t="s">
        <v>214</v>
      </c>
      <c r="D10" s="249" t="s">
        <v>552</v>
      </c>
      <c r="E10" s="249" t="s">
        <v>142</v>
      </c>
      <c r="F10" s="249">
        <v>234132</v>
      </c>
      <c r="G10" s="249">
        <v>219264</v>
      </c>
      <c r="H10" s="249">
        <v>14868</v>
      </c>
      <c r="I10" s="252">
        <v>0</v>
      </c>
      <c r="N10" s="245" t="s">
        <v>0</v>
      </c>
      <c r="O10" s="255" t="s">
        <v>500</v>
      </c>
    </row>
    <row r="11" spans="2:18" x14ac:dyDescent="0.35">
      <c r="B11" s="92" t="s">
        <v>215</v>
      </c>
      <c r="C11" s="249" t="s">
        <v>216</v>
      </c>
      <c r="D11" s="249" t="s">
        <v>551</v>
      </c>
      <c r="E11" s="249" t="s">
        <v>141</v>
      </c>
      <c r="F11" s="249">
        <v>347602</v>
      </c>
      <c r="G11" s="249">
        <v>195170</v>
      </c>
      <c r="H11" s="249">
        <v>152432</v>
      </c>
      <c r="I11" s="252">
        <v>0</v>
      </c>
      <c r="N11" s="245" t="s">
        <v>58</v>
      </c>
      <c r="O11" s="255" t="s">
        <v>501</v>
      </c>
    </row>
    <row r="12" spans="2:18" x14ac:dyDescent="0.35">
      <c r="B12" s="92" t="s">
        <v>217</v>
      </c>
      <c r="C12" s="249" t="s">
        <v>218</v>
      </c>
      <c r="D12" s="249" t="s">
        <v>551</v>
      </c>
      <c r="E12" s="249" t="s">
        <v>141</v>
      </c>
      <c r="F12" s="249">
        <v>518566</v>
      </c>
      <c r="G12" s="249">
        <v>0</v>
      </c>
      <c r="H12" s="249">
        <v>518566</v>
      </c>
      <c r="I12" s="252">
        <v>0</v>
      </c>
      <c r="N12" s="245" t="s">
        <v>664</v>
      </c>
      <c r="O12" s="255" t="s">
        <v>502</v>
      </c>
    </row>
    <row r="13" spans="2:18" x14ac:dyDescent="0.35">
      <c r="B13" s="92" t="s">
        <v>219</v>
      </c>
      <c r="C13" s="249" t="s">
        <v>220</v>
      </c>
      <c r="D13" s="249" t="s">
        <v>551</v>
      </c>
      <c r="E13" s="249" t="s">
        <v>141</v>
      </c>
      <c r="F13" s="249">
        <v>2094123</v>
      </c>
      <c r="G13" s="249">
        <v>1916957</v>
      </c>
      <c r="H13" s="249">
        <v>177166</v>
      </c>
      <c r="I13" s="252">
        <v>0</v>
      </c>
      <c r="N13" s="245" t="s">
        <v>59</v>
      </c>
      <c r="O13" s="255" t="s">
        <v>503</v>
      </c>
    </row>
    <row r="14" spans="2:18" x14ac:dyDescent="0.35">
      <c r="B14" s="92" t="s">
        <v>221</v>
      </c>
      <c r="C14" s="249" t="s">
        <v>222</v>
      </c>
      <c r="D14" s="249" t="s">
        <v>552</v>
      </c>
      <c r="E14" s="249" t="s">
        <v>142</v>
      </c>
      <c r="F14" s="249">
        <v>81338</v>
      </c>
      <c r="G14" s="249">
        <v>0</v>
      </c>
      <c r="H14" s="249">
        <v>81338</v>
      </c>
      <c r="I14" s="252">
        <v>0</v>
      </c>
      <c r="N14" s="245" t="s">
        <v>665</v>
      </c>
      <c r="O14" s="255" t="s">
        <v>504</v>
      </c>
    </row>
    <row r="15" spans="2:18" x14ac:dyDescent="0.35">
      <c r="B15" s="92" t="s">
        <v>223</v>
      </c>
      <c r="C15" s="249" t="s">
        <v>224</v>
      </c>
      <c r="D15" s="249" t="s">
        <v>551</v>
      </c>
      <c r="E15" s="249" t="s">
        <v>141</v>
      </c>
      <c r="F15" s="249">
        <v>4875556</v>
      </c>
      <c r="G15" s="249">
        <v>4020886</v>
      </c>
      <c r="H15" s="249">
        <v>854670</v>
      </c>
      <c r="I15" s="252">
        <v>0</v>
      </c>
      <c r="N15" s="245" t="s">
        <v>666</v>
      </c>
      <c r="O15" s="255" t="s">
        <v>505</v>
      </c>
    </row>
    <row r="16" spans="2:18" x14ac:dyDescent="0.35">
      <c r="B16" s="92" t="s">
        <v>225</v>
      </c>
      <c r="C16" s="249" t="s">
        <v>226</v>
      </c>
      <c r="D16" s="249" t="s">
        <v>551</v>
      </c>
      <c r="E16" s="249" t="s">
        <v>141</v>
      </c>
      <c r="F16" s="249">
        <v>43801243</v>
      </c>
      <c r="G16" s="249">
        <v>19189330</v>
      </c>
      <c r="H16" s="249">
        <v>24611913</v>
      </c>
      <c r="I16" s="252">
        <v>2400.7303435596</v>
      </c>
      <c r="N16" s="245" t="s">
        <v>667</v>
      </c>
      <c r="O16" s="255" t="s">
        <v>506</v>
      </c>
    </row>
    <row r="17" spans="2:15" x14ac:dyDescent="0.35">
      <c r="B17" s="92" t="s">
        <v>227</v>
      </c>
      <c r="C17" s="249" t="s">
        <v>228</v>
      </c>
      <c r="D17" s="249" t="s">
        <v>551</v>
      </c>
      <c r="E17" s="249" t="s">
        <v>141</v>
      </c>
      <c r="F17" s="249">
        <v>5481018</v>
      </c>
      <c r="G17" s="249">
        <v>4430190</v>
      </c>
      <c r="H17" s="249">
        <v>1050828</v>
      </c>
      <c r="I17" s="252">
        <v>724.40114028360006</v>
      </c>
      <c r="N17" s="245" t="s">
        <v>197</v>
      </c>
      <c r="O17" s="255" t="s">
        <v>507</v>
      </c>
    </row>
    <row r="18" spans="2:15" x14ac:dyDescent="0.35">
      <c r="B18" s="92" t="s">
        <v>229</v>
      </c>
      <c r="C18" s="249" t="s">
        <v>230</v>
      </c>
      <c r="D18" s="249" t="s">
        <v>552</v>
      </c>
      <c r="E18" s="249" t="s">
        <v>142</v>
      </c>
      <c r="F18" s="249">
        <v>108029</v>
      </c>
      <c r="G18" s="249">
        <v>0</v>
      </c>
      <c r="H18" s="249">
        <v>108029</v>
      </c>
      <c r="I18" s="252">
        <v>0</v>
      </c>
      <c r="N18" s="245" t="s">
        <v>60</v>
      </c>
      <c r="O18" s="255" t="s">
        <v>508</v>
      </c>
    </row>
    <row r="19" spans="2:15" x14ac:dyDescent="0.35">
      <c r="B19" s="92" t="s">
        <v>231</v>
      </c>
      <c r="C19" s="249" t="s">
        <v>232</v>
      </c>
      <c r="D19" s="249" t="s">
        <v>552</v>
      </c>
      <c r="E19" s="249" t="s">
        <v>141</v>
      </c>
      <c r="F19" s="249">
        <v>1754692</v>
      </c>
      <c r="G19" s="249">
        <v>683927</v>
      </c>
      <c r="H19" s="249">
        <v>1070765</v>
      </c>
      <c r="I19" s="252">
        <v>3664.5916926333002</v>
      </c>
      <c r="N19" s="245" t="s">
        <v>668</v>
      </c>
      <c r="O19" s="255" t="s">
        <v>509</v>
      </c>
    </row>
    <row r="20" spans="2:15" x14ac:dyDescent="0.35">
      <c r="B20" s="92" t="s">
        <v>233</v>
      </c>
      <c r="C20" s="249" t="s">
        <v>234</v>
      </c>
      <c r="D20" s="249" t="s">
        <v>551</v>
      </c>
      <c r="E20" s="249" t="s">
        <v>141</v>
      </c>
      <c r="F20" s="249">
        <v>6210916</v>
      </c>
      <c r="G20" s="249">
        <v>2889949</v>
      </c>
      <c r="H20" s="249">
        <v>3320967</v>
      </c>
      <c r="I20" s="252">
        <v>2183.5246351476999</v>
      </c>
      <c r="N20" s="245" t="s">
        <v>61</v>
      </c>
      <c r="O20" s="255" t="s">
        <v>510</v>
      </c>
    </row>
    <row r="21" spans="2:15" x14ac:dyDescent="0.35">
      <c r="B21" s="92" t="s">
        <v>235</v>
      </c>
      <c r="C21" s="249" t="s">
        <v>236</v>
      </c>
      <c r="D21" s="249" t="s">
        <v>551</v>
      </c>
      <c r="E21" s="249" t="s">
        <v>141</v>
      </c>
      <c r="F21" s="249">
        <v>37654843</v>
      </c>
      <c r="G21" s="249">
        <v>28430628</v>
      </c>
      <c r="H21" s="249">
        <v>9224215</v>
      </c>
      <c r="I21" s="252">
        <v>8828.2780521584991</v>
      </c>
      <c r="N21" s="245" t="s">
        <v>669</v>
      </c>
      <c r="O21" s="255" t="s">
        <v>511</v>
      </c>
    </row>
    <row r="22" spans="2:15" x14ac:dyDescent="0.35">
      <c r="B22" s="92" t="s">
        <v>237</v>
      </c>
      <c r="C22" s="249" t="s">
        <v>238</v>
      </c>
      <c r="D22" s="249" t="s">
        <v>552</v>
      </c>
      <c r="E22" s="249" t="s">
        <v>142</v>
      </c>
      <c r="F22" s="249">
        <v>60885</v>
      </c>
      <c r="G22" s="249">
        <v>0</v>
      </c>
      <c r="H22" s="249">
        <v>60885</v>
      </c>
      <c r="I22" s="252">
        <v>0</v>
      </c>
      <c r="N22" s="245" t="s">
        <v>755</v>
      </c>
      <c r="O22" s="255" t="s">
        <v>512</v>
      </c>
    </row>
    <row r="23" spans="2:15" x14ac:dyDescent="0.35">
      <c r="B23" s="92" t="s">
        <v>239</v>
      </c>
      <c r="C23" s="249" t="s">
        <v>240</v>
      </c>
      <c r="D23" s="249" t="s">
        <v>551</v>
      </c>
      <c r="E23" s="249" t="s">
        <v>141</v>
      </c>
      <c r="F23" s="249">
        <v>3164655</v>
      </c>
      <c r="G23" s="249">
        <v>1609546</v>
      </c>
      <c r="H23" s="249">
        <v>1555109</v>
      </c>
      <c r="I23" s="252">
        <v>6578.8265038002</v>
      </c>
      <c r="N23" s="245" t="s">
        <v>191</v>
      </c>
      <c r="O23" s="255" t="s">
        <v>513</v>
      </c>
    </row>
    <row r="24" spans="2:15" x14ac:dyDescent="0.35">
      <c r="B24" s="92" t="s">
        <v>241</v>
      </c>
      <c r="C24" s="249" t="s">
        <v>242</v>
      </c>
      <c r="D24" s="249" t="s">
        <v>551</v>
      </c>
      <c r="E24" s="249" t="s">
        <v>141</v>
      </c>
      <c r="F24" s="249">
        <v>764312</v>
      </c>
      <c r="G24" s="249">
        <v>614034</v>
      </c>
      <c r="H24" s="249">
        <v>150278</v>
      </c>
      <c r="I24" s="252">
        <v>0</v>
      </c>
      <c r="N24" s="245" t="s">
        <v>184</v>
      </c>
      <c r="O24" s="255" t="s">
        <v>514</v>
      </c>
    </row>
    <row r="25" spans="2:15" x14ac:dyDescent="0.35">
      <c r="B25" s="92" t="s">
        <v>243</v>
      </c>
      <c r="C25" s="249" t="s">
        <v>244</v>
      </c>
      <c r="D25" s="249" t="s">
        <v>552</v>
      </c>
      <c r="E25" s="249" t="s">
        <v>141</v>
      </c>
      <c r="F25" s="249">
        <v>701766</v>
      </c>
      <c r="G25" s="249">
        <v>441786</v>
      </c>
      <c r="H25" s="249">
        <v>259980</v>
      </c>
      <c r="I25" s="252">
        <v>1374.6878455167</v>
      </c>
      <c r="N25" s="245" t="s">
        <v>670</v>
      </c>
      <c r="O25" s="255" t="s">
        <v>515</v>
      </c>
    </row>
    <row r="26" spans="2:15" x14ac:dyDescent="0.35">
      <c r="B26" s="92" t="s">
        <v>245</v>
      </c>
      <c r="C26" s="249" t="s">
        <v>246</v>
      </c>
      <c r="D26" s="249" t="s">
        <v>551</v>
      </c>
      <c r="E26" s="249" t="s">
        <v>142</v>
      </c>
      <c r="F26" s="249">
        <v>1647967</v>
      </c>
      <c r="G26" s="249">
        <v>1646387</v>
      </c>
      <c r="H26" s="249">
        <v>1580</v>
      </c>
      <c r="I26" s="252">
        <v>0</v>
      </c>
      <c r="N26" s="245" t="s">
        <v>62</v>
      </c>
      <c r="O26" s="255" t="s">
        <v>516</v>
      </c>
    </row>
    <row r="27" spans="2:15" x14ac:dyDescent="0.35">
      <c r="B27" s="92" t="s">
        <v>247</v>
      </c>
      <c r="C27" s="249" t="s">
        <v>248</v>
      </c>
      <c r="D27" s="249" t="s">
        <v>552</v>
      </c>
      <c r="E27" s="249" t="s">
        <v>142</v>
      </c>
      <c r="F27" s="249">
        <v>130523</v>
      </c>
      <c r="G27" s="249">
        <v>0</v>
      </c>
      <c r="H27" s="249">
        <v>130523</v>
      </c>
      <c r="I27" s="252">
        <v>0</v>
      </c>
      <c r="N27" s="245" t="s">
        <v>756</v>
      </c>
      <c r="O27" s="255" t="s">
        <v>517</v>
      </c>
    </row>
    <row r="28" spans="2:15" x14ac:dyDescent="0.35">
      <c r="B28" s="92" t="s">
        <v>249</v>
      </c>
      <c r="C28" s="249" t="s">
        <v>136</v>
      </c>
      <c r="D28" s="249" t="s">
        <v>551</v>
      </c>
      <c r="E28" s="249" t="s">
        <v>141</v>
      </c>
      <c r="F28" s="249">
        <v>17225</v>
      </c>
      <c r="G28" s="249">
        <v>0</v>
      </c>
      <c r="H28" s="249">
        <v>17225</v>
      </c>
      <c r="I28" s="252">
        <v>0</v>
      </c>
      <c r="N28" s="245" t="s">
        <v>671</v>
      </c>
      <c r="O28" s="255" t="s">
        <v>518</v>
      </c>
    </row>
    <row r="29" spans="2:15" x14ac:dyDescent="0.35">
      <c r="B29" s="92" t="s">
        <v>250</v>
      </c>
      <c r="C29" s="249" t="s">
        <v>251</v>
      </c>
      <c r="D29" s="249" t="s">
        <v>551</v>
      </c>
      <c r="E29" s="249" t="s">
        <v>141</v>
      </c>
      <c r="F29" s="249">
        <v>70807</v>
      </c>
      <c r="G29" s="249">
        <v>0</v>
      </c>
      <c r="H29" s="249">
        <v>70807</v>
      </c>
      <c r="I29" s="252">
        <v>0</v>
      </c>
      <c r="N29" s="245" t="s">
        <v>178</v>
      </c>
      <c r="O29" s="255" t="s">
        <v>519</v>
      </c>
    </row>
    <row r="30" spans="2:15" x14ac:dyDescent="0.35">
      <c r="B30" s="92" t="s">
        <v>252</v>
      </c>
      <c r="C30" s="249" t="s">
        <v>253</v>
      </c>
      <c r="D30" s="249" t="s">
        <v>552</v>
      </c>
      <c r="E30" s="249" t="s">
        <v>141</v>
      </c>
      <c r="F30" s="249">
        <v>288139</v>
      </c>
      <c r="G30" s="249">
        <v>155248</v>
      </c>
      <c r="H30" s="249">
        <v>132891</v>
      </c>
      <c r="I30" s="252">
        <v>918.77801288988007</v>
      </c>
      <c r="N30" s="245" t="s">
        <v>193</v>
      </c>
      <c r="O30" s="255" t="s">
        <v>520</v>
      </c>
    </row>
    <row r="31" spans="2:15" x14ac:dyDescent="0.35">
      <c r="B31" s="92" t="s">
        <v>254</v>
      </c>
      <c r="C31" s="249" t="s">
        <v>255</v>
      </c>
      <c r="D31" s="249" t="s">
        <v>552</v>
      </c>
      <c r="E31" s="249" t="s">
        <v>142</v>
      </c>
      <c r="F31" s="249">
        <v>955509</v>
      </c>
      <c r="G31" s="249">
        <v>909965</v>
      </c>
      <c r="H31" s="249">
        <v>45544</v>
      </c>
      <c r="I31" s="252">
        <v>0</v>
      </c>
      <c r="N31" s="245" t="s">
        <v>63</v>
      </c>
      <c r="O31" s="255" t="s">
        <v>521</v>
      </c>
    </row>
    <row r="32" spans="2:15" x14ac:dyDescent="0.35">
      <c r="B32" s="92" t="s">
        <v>256</v>
      </c>
      <c r="C32" s="249" t="s">
        <v>257</v>
      </c>
      <c r="D32" s="249" t="s">
        <v>551</v>
      </c>
      <c r="E32" s="249" t="s">
        <v>141</v>
      </c>
      <c r="F32" s="249">
        <v>0</v>
      </c>
      <c r="G32" s="249">
        <v>0</v>
      </c>
      <c r="H32" s="249">
        <v>0</v>
      </c>
      <c r="I32" s="252">
        <v>0</v>
      </c>
      <c r="N32" s="245" t="s">
        <v>672</v>
      </c>
      <c r="O32" s="255" t="s">
        <v>522</v>
      </c>
    </row>
    <row r="33" spans="2:15" x14ac:dyDescent="0.35">
      <c r="B33" s="92" t="s">
        <v>258</v>
      </c>
      <c r="C33" s="249" t="s">
        <v>259</v>
      </c>
      <c r="D33" s="249" t="s">
        <v>552</v>
      </c>
      <c r="E33" s="249" t="s">
        <v>141</v>
      </c>
      <c r="F33" s="249">
        <v>1802091</v>
      </c>
      <c r="G33" s="249">
        <v>1690409</v>
      </c>
      <c r="H33" s="249">
        <v>111682</v>
      </c>
      <c r="I33" s="252">
        <v>1299.9454354901302</v>
      </c>
      <c r="N33" s="245" t="s">
        <v>170</v>
      </c>
      <c r="O33" s="255" t="s">
        <v>523</v>
      </c>
    </row>
    <row r="34" spans="2:15" x14ac:dyDescent="0.35">
      <c r="B34" s="92" t="s">
        <v>260</v>
      </c>
      <c r="C34" s="249" t="s">
        <v>261</v>
      </c>
      <c r="D34" s="249" t="s">
        <v>552</v>
      </c>
      <c r="E34" s="249" t="s">
        <v>142</v>
      </c>
      <c r="F34" s="253">
        <v>0</v>
      </c>
      <c r="G34" s="253">
        <v>0</v>
      </c>
      <c r="H34" s="253">
        <v>0</v>
      </c>
      <c r="I34" s="252">
        <v>0</v>
      </c>
      <c r="N34" s="245" t="s">
        <v>169</v>
      </c>
      <c r="O34" s="255" t="s">
        <v>524</v>
      </c>
    </row>
    <row r="35" spans="2:15" x14ac:dyDescent="0.35">
      <c r="B35" s="92" t="s">
        <v>262</v>
      </c>
      <c r="C35" s="249" t="s">
        <v>263</v>
      </c>
      <c r="D35" s="249" t="s">
        <v>551</v>
      </c>
      <c r="E35" s="249" t="s">
        <v>141</v>
      </c>
      <c r="F35" s="253">
        <v>300312</v>
      </c>
      <c r="G35" s="253">
        <v>199115</v>
      </c>
      <c r="H35" s="253">
        <v>101197</v>
      </c>
      <c r="I35" s="252">
        <v>0</v>
      </c>
      <c r="N35" s="245" t="s">
        <v>2</v>
      </c>
      <c r="O35" s="255" t="s">
        <v>525</v>
      </c>
    </row>
    <row r="36" spans="2:15" x14ac:dyDescent="0.35">
      <c r="B36" s="92" t="s">
        <v>264</v>
      </c>
      <c r="C36" s="249" t="s">
        <v>265</v>
      </c>
      <c r="D36" s="249" t="s">
        <v>552</v>
      </c>
      <c r="E36" s="249" t="s">
        <v>142</v>
      </c>
      <c r="F36" s="253">
        <v>138677</v>
      </c>
      <c r="G36" s="253">
        <v>0</v>
      </c>
      <c r="H36" s="253">
        <v>138677</v>
      </c>
      <c r="I36" s="252">
        <v>0</v>
      </c>
      <c r="N36" s="245" t="s">
        <v>673</v>
      </c>
      <c r="O36" s="255" t="s">
        <v>526</v>
      </c>
    </row>
    <row r="37" spans="2:15" x14ac:dyDescent="0.35">
      <c r="B37" s="92" t="s">
        <v>266</v>
      </c>
      <c r="C37" s="249" t="s">
        <v>267</v>
      </c>
      <c r="D37" s="249" t="s">
        <v>552</v>
      </c>
      <c r="E37" s="249" t="s">
        <v>141</v>
      </c>
      <c r="F37" s="253">
        <v>3835772</v>
      </c>
      <c r="G37" s="253">
        <v>1114300</v>
      </c>
      <c r="H37" s="253">
        <v>2721472</v>
      </c>
      <c r="I37" s="252">
        <v>0</v>
      </c>
      <c r="N37" s="245" t="s">
        <v>674</v>
      </c>
      <c r="O37" s="255" t="s">
        <v>527</v>
      </c>
    </row>
    <row r="38" spans="2:15" x14ac:dyDescent="0.35">
      <c r="B38" s="92" t="s">
        <v>268</v>
      </c>
      <c r="C38" s="249" t="s">
        <v>269</v>
      </c>
      <c r="D38" s="249" t="s">
        <v>551</v>
      </c>
      <c r="E38" s="249" t="s">
        <v>141</v>
      </c>
      <c r="F38" s="253">
        <v>76115</v>
      </c>
      <c r="G38" s="253">
        <v>0</v>
      </c>
      <c r="H38" s="253">
        <v>76115</v>
      </c>
      <c r="I38" s="252">
        <v>2227.4535974977002</v>
      </c>
      <c r="N38" s="245" t="s">
        <v>64</v>
      </c>
      <c r="O38" s="255" t="s">
        <v>528</v>
      </c>
    </row>
    <row r="39" spans="2:15" x14ac:dyDescent="0.35">
      <c r="B39" s="92" t="s">
        <v>270</v>
      </c>
      <c r="C39" s="249" t="s">
        <v>271</v>
      </c>
      <c r="D39" s="249" t="s">
        <v>551</v>
      </c>
      <c r="E39" s="249" t="s">
        <v>141</v>
      </c>
      <c r="F39" s="253">
        <v>1745704</v>
      </c>
      <c r="G39" s="253">
        <v>416855</v>
      </c>
      <c r="H39" s="253">
        <v>1328849</v>
      </c>
      <c r="I39" s="252">
        <v>1637.94533108778</v>
      </c>
      <c r="N39" s="245" t="s">
        <v>189</v>
      </c>
      <c r="O39" s="255" t="s">
        <v>529</v>
      </c>
    </row>
    <row r="40" spans="2:15" x14ac:dyDescent="0.35">
      <c r="B40" s="92" t="s">
        <v>272</v>
      </c>
      <c r="C40" s="249" t="s">
        <v>273</v>
      </c>
      <c r="D40" s="249" t="s">
        <v>551</v>
      </c>
      <c r="E40" s="249" t="s">
        <v>141</v>
      </c>
      <c r="F40" s="253">
        <v>13116201</v>
      </c>
      <c r="G40" s="253">
        <v>10601143</v>
      </c>
      <c r="H40" s="253">
        <v>2515058</v>
      </c>
      <c r="I40" s="252">
        <v>4960.8600647891999</v>
      </c>
      <c r="N40" s="245" t="s">
        <v>3</v>
      </c>
      <c r="O40" s="255" t="s">
        <v>530</v>
      </c>
    </row>
    <row r="41" spans="2:15" x14ac:dyDescent="0.35">
      <c r="B41" s="92" t="s">
        <v>274</v>
      </c>
      <c r="C41" s="249" t="s">
        <v>275</v>
      </c>
      <c r="D41" s="249" t="s">
        <v>551</v>
      </c>
      <c r="E41" s="249" t="s">
        <v>141</v>
      </c>
      <c r="F41" s="253">
        <v>1140547</v>
      </c>
      <c r="G41" s="253">
        <v>781445</v>
      </c>
      <c r="H41" s="253">
        <v>359102</v>
      </c>
      <c r="I41" s="252">
        <v>0</v>
      </c>
      <c r="N41" s="245" t="s">
        <v>675</v>
      </c>
      <c r="O41" s="255" t="s">
        <v>531</v>
      </c>
    </row>
    <row r="42" spans="2:15" x14ac:dyDescent="0.35">
      <c r="B42" s="92" t="s">
        <v>276</v>
      </c>
      <c r="C42" s="249" t="s">
        <v>277</v>
      </c>
      <c r="D42" s="249" t="s">
        <v>551</v>
      </c>
      <c r="E42" s="249" t="s">
        <v>141</v>
      </c>
      <c r="F42" s="253">
        <v>453278</v>
      </c>
      <c r="G42" s="253">
        <v>453278</v>
      </c>
      <c r="H42" s="253">
        <v>0</v>
      </c>
      <c r="I42" s="252">
        <v>0</v>
      </c>
      <c r="N42" s="245" t="s">
        <v>757</v>
      </c>
      <c r="O42" s="255" t="s">
        <v>532</v>
      </c>
    </row>
    <row r="43" spans="2:15" x14ac:dyDescent="0.35">
      <c r="B43" s="92" t="s">
        <v>278</v>
      </c>
      <c r="C43" s="249" t="s">
        <v>279</v>
      </c>
      <c r="D43" s="249" t="s">
        <v>552</v>
      </c>
      <c r="E43" s="249" t="s">
        <v>141</v>
      </c>
      <c r="F43" s="253">
        <v>294411</v>
      </c>
      <c r="G43" s="253">
        <v>0</v>
      </c>
      <c r="H43" s="253">
        <v>294411</v>
      </c>
      <c r="I43" s="252">
        <v>0</v>
      </c>
      <c r="N43" s="245" t="s">
        <v>676</v>
      </c>
      <c r="O43" s="255" t="s">
        <v>533</v>
      </c>
    </row>
    <row r="44" spans="2:15" x14ac:dyDescent="0.35">
      <c r="B44" s="92" t="s">
        <v>280</v>
      </c>
      <c r="C44" s="249" t="s">
        <v>281</v>
      </c>
      <c r="D44" s="249" t="s">
        <v>552</v>
      </c>
      <c r="E44" s="249" t="s">
        <v>142</v>
      </c>
      <c r="F44" s="253">
        <v>1252261</v>
      </c>
      <c r="G44" s="253">
        <v>0</v>
      </c>
      <c r="H44" s="253">
        <v>1252261</v>
      </c>
      <c r="I44" s="252">
        <v>0</v>
      </c>
      <c r="N44" s="245" t="s">
        <v>758</v>
      </c>
      <c r="O44" s="255" t="s">
        <v>534</v>
      </c>
    </row>
    <row r="45" spans="2:15" x14ac:dyDescent="0.35">
      <c r="B45" s="92" t="s">
        <v>282</v>
      </c>
      <c r="C45" s="249" t="s">
        <v>283</v>
      </c>
      <c r="D45" s="249" t="s">
        <v>551</v>
      </c>
      <c r="E45" s="249" t="s">
        <v>141</v>
      </c>
      <c r="F45" s="253">
        <v>176487</v>
      </c>
      <c r="G45" s="253">
        <v>145895</v>
      </c>
      <c r="H45" s="253">
        <v>30592</v>
      </c>
      <c r="I45" s="252">
        <v>0</v>
      </c>
      <c r="N45" s="245" t="s">
        <v>759</v>
      </c>
      <c r="O45" s="255" t="s">
        <v>535</v>
      </c>
    </row>
    <row r="46" spans="2:15" x14ac:dyDescent="0.35">
      <c r="B46" s="92" t="s">
        <v>284</v>
      </c>
      <c r="C46" s="249" t="s">
        <v>285</v>
      </c>
      <c r="D46" s="249" t="s">
        <v>551</v>
      </c>
      <c r="E46" s="249" t="s">
        <v>141</v>
      </c>
      <c r="F46" s="253">
        <v>85208232</v>
      </c>
      <c r="G46" s="253">
        <v>43642505</v>
      </c>
      <c r="H46" s="253">
        <v>41565727</v>
      </c>
      <c r="I46" s="252">
        <v>72378.592562516496</v>
      </c>
      <c r="N46" s="245" t="s">
        <v>123</v>
      </c>
      <c r="O46" s="255" t="s">
        <v>536</v>
      </c>
    </row>
    <row r="47" spans="2:15" x14ac:dyDescent="0.35">
      <c r="B47" s="92" t="s">
        <v>286</v>
      </c>
      <c r="C47" s="249" t="s">
        <v>287</v>
      </c>
      <c r="D47" s="249" t="s">
        <v>551</v>
      </c>
      <c r="E47" s="249" t="s">
        <v>141</v>
      </c>
      <c r="F47" s="253">
        <v>1518629</v>
      </c>
      <c r="G47" s="253">
        <v>954000</v>
      </c>
      <c r="H47" s="253">
        <v>564629</v>
      </c>
      <c r="I47" s="252">
        <v>0</v>
      </c>
      <c r="N47" s="245" t="s">
        <v>187</v>
      </c>
      <c r="O47" s="255" t="s">
        <v>537</v>
      </c>
    </row>
    <row r="48" spans="2:15" x14ac:dyDescent="0.35">
      <c r="B48" s="92" t="s">
        <v>288</v>
      </c>
      <c r="C48" s="249" t="s">
        <v>289</v>
      </c>
      <c r="D48" s="249" t="s">
        <v>552</v>
      </c>
      <c r="E48" s="249" t="s">
        <v>142</v>
      </c>
      <c r="F48" s="253">
        <v>1031015</v>
      </c>
      <c r="G48" s="253">
        <v>398074</v>
      </c>
      <c r="H48" s="253">
        <v>632941</v>
      </c>
      <c r="I48" s="252">
        <v>0</v>
      </c>
      <c r="N48" s="245" t="s">
        <v>760</v>
      </c>
      <c r="O48" s="255" t="s">
        <v>538</v>
      </c>
    </row>
    <row r="49" spans="2:15" x14ac:dyDescent="0.35">
      <c r="B49" s="92" t="s">
        <v>290</v>
      </c>
      <c r="C49" s="249" t="s">
        <v>791</v>
      </c>
      <c r="D49" s="249" t="s">
        <v>551</v>
      </c>
      <c r="E49" s="249" t="s">
        <v>141</v>
      </c>
      <c r="F49" s="253">
        <v>92021889</v>
      </c>
      <c r="G49" s="253">
        <v>38671163</v>
      </c>
      <c r="H49" s="253">
        <v>53350726</v>
      </c>
      <c r="I49" s="252">
        <v>33684.36</v>
      </c>
      <c r="N49" s="245" t="s">
        <v>761</v>
      </c>
      <c r="O49" s="255" t="s">
        <v>539</v>
      </c>
    </row>
    <row r="50" spans="2:15" x14ac:dyDescent="0.35">
      <c r="B50" s="92" t="s">
        <v>291</v>
      </c>
      <c r="C50" s="249" t="s">
        <v>292</v>
      </c>
      <c r="D50" s="249" t="s">
        <v>551</v>
      </c>
      <c r="E50" s="249" t="s">
        <v>141</v>
      </c>
      <c r="F50" s="253">
        <v>2251681</v>
      </c>
      <c r="G50" s="253">
        <v>1138375</v>
      </c>
      <c r="H50" s="253">
        <v>1113306</v>
      </c>
      <c r="I50" s="252">
        <v>2410.7126772898</v>
      </c>
      <c r="N50" s="245" t="s">
        <v>65</v>
      </c>
      <c r="O50" s="255" t="s">
        <v>540</v>
      </c>
    </row>
    <row r="51" spans="2:15" x14ac:dyDescent="0.35">
      <c r="B51" s="92" t="s">
        <v>293</v>
      </c>
      <c r="C51" s="249" t="s">
        <v>294</v>
      </c>
      <c r="D51" s="249" t="s">
        <v>551</v>
      </c>
      <c r="E51" s="249" t="s">
        <v>141</v>
      </c>
      <c r="F51" s="253">
        <v>5923211</v>
      </c>
      <c r="G51" s="253">
        <v>1665982</v>
      </c>
      <c r="H51" s="253">
        <v>4257229</v>
      </c>
      <c r="I51" s="252">
        <v>572.06804998589996</v>
      </c>
      <c r="N51" s="245" t="s">
        <v>677</v>
      </c>
      <c r="O51" s="255" t="s">
        <v>541</v>
      </c>
    </row>
    <row r="52" spans="2:15" x14ac:dyDescent="0.35">
      <c r="B52" s="92" t="s">
        <v>295</v>
      </c>
      <c r="C52" s="249" t="s">
        <v>296</v>
      </c>
      <c r="D52" s="249" t="s">
        <v>551</v>
      </c>
      <c r="E52" s="249" t="s">
        <v>141</v>
      </c>
      <c r="F52" s="253">
        <v>261297</v>
      </c>
      <c r="G52" s="253">
        <v>240314</v>
      </c>
      <c r="H52" s="253">
        <v>20983</v>
      </c>
      <c r="I52" s="252">
        <v>0</v>
      </c>
      <c r="N52" s="245" t="s">
        <v>762</v>
      </c>
      <c r="O52" s="255" t="s">
        <v>542</v>
      </c>
    </row>
    <row r="53" spans="2:15" x14ac:dyDescent="0.35">
      <c r="B53" s="92" t="s">
        <v>297</v>
      </c>
      <c r="C53" s="249" t="s">
        <v>298</v>
      </c>
      <c r="D53" s="249" t="s">
        <v>552</v>
      </c>
      <c r="E53" s="249" t="s">
        <v>141</v>
      </c>
      <c r="F53" s="253">
        <v>164514</v>
      </c>
      <c r="G53" s="253">
        <v>0</v>
      </c>
      <c r="H53" s="253">
        <v>164514</v>
      </c>
      <c r="I53" s="252">
        <v>0</v>
      </c>
      <c r="N53" s="245" t="s">
        <v>678</v>
      </c>
      <c r="O53" s="255" t="s">
        <v>543</v>
      </c>
    </row>
    <row r="54" spans="2:15" x14ac:dyDescent="0.35">
      <c r="B54" s="92" t="s">
        <v>299</v>
      </c>
      <c r="C54" s="249" t="s">
        <v>300</v>
      </c>
      <c r="D54" s="249" t="s">
        <v>551</v>
      </c>
      <c r="E54" s="249" t="s">
        <v>141</v>
      </c>
      <c r="F54" s="253">
        <v>2041620</v>
      </c>
      <c r="G54" s="253">
        <v>1132680</v>
      </c>
      <c r="H54" s="253">
        <v>908940</v>
      </c>
      <c r="I54" s="252">
        <v>0</v>
      </c>
      <c r="N54" s="245" t="s">
        <v>171</v>
      </c>
      <c r="O54" s="255" t="s">
        <v>544</v>
      </c>
    </row>
    <row r="55" spans="2:15" x14ac:dyDescent="0.35">
      <c r="B55" s="92" t="s">
        <v>301</v>
      </c>
      <c r="C55" s="249" t="s">
        <v>792</v>
      </c>
      <c r="D55" s="249" t="s">
        <v>551</v>
      </c>
      <c r="E55" s="249" t="s">
        <v>141</v>
      </c>
      <c r="F55" s="253">
        <v>24398</v>
      </c>
      <c r="G55" s="253">
        <v>0</v>
      </c>
      <c r="H55" s="253">
        <v>24398</v>
      </c>
      <c r="I55" s="252">
        <v>0</v>
      </c>
      <c r="N55" s="245" t="s">
        <v>679</v>
      </c>
      <c r="O55" s="255" t="s">
        <v>545</v>
      </c>
    </row>
    <row r="56" spans="2:15" x14ac:dyDescent="0.35">
      <c r="B56" s="92" t="s">
        <v>302</v>
      </c>
      <c r="C56" s="249" t="s">
        <v>793</v>
      </c>
      <c r="D56" s="249" t="s">
        <v>552</v>
      </c>
      <c r="E56" s="249" t="s">
        <v>142</v>
      </c>
      <c r="F56" s="253">
        <v>2221185</v>
      </c>
      <c r="G56" s="253">
        <v>2108692</v>
      </c>
      <c r="H56" s="253">
        <v>112493</v>
      </c>
      <c r="I56" s="252">
        <v>0</v>
      </c>
      <c r="N56" s="245" t="s">
        <v>680</v>
      </c>
      <c r="O56" s="255" t="s">
        <v>546</v>
      </c>
    </row>
    <row r="57" spans="2:15" x14ac:dyDescent="0.35">
      <c r="B57" s="92" t="s">
        <v>303</v>
      </c>
      <c r="C57" s="249" t="s">
        <v>304</v>
      </c>
      <c r="D57" s="249" t="s">
        <v>552</v>
      </c>
      <c r="E57" s="249" t="s">
        <v>142</v>
      </c>
      <c r="F57" s="253">
        <v>5973391</v>
      </c>
      <c r="G57" s="253">
        <v>5715152</v>
      </c>
      <c r="H57" s="253">
        <v>258239</v>
      </c>
      <c r="I57" s="252">
        <v>0</v>
      </c>
      <c r="N57" s="245" t="s">
        <v>66</v>
      </c>
      <c r="O57" s="255" t="s">
        <v>547</v>
      </c>
    </row>
    <row r="58" spans="2:15" x14ac:dyDescent="0.35">
      <c r="B58" s="92" t="s">
        <v>305</v>
      </c>
      <c r="C58" s="249" t="s">
        <v>306</v>
      </c>
      <c r="D58" s="249" t="s">
        <v>552</v>
      </c>
      <c r="E58" s="249" t="s">
        <v>142</v>
      </c>
      <c r="F58" s="253">
        <v>4382272</v>
      </c>
      <c r="G58" s="253">
        <v>3328352</v>
      </c>
      <c r="H58" s="253">
        <v>1053920</v>
      </c>
      <c r="I58" s="252">
        <v>0</v>
      </c>
      <c r="N58" s="245" t="s">
        <v>763</v>
      </c>
      <c r="O58" s="255" t="s">
        <v>548</v>
      </c>
    </row>
    <row r="59" spans="2:15" x14ac:dyDescent="0.35">
      <c r="B59" s="92" t="s">
        <v>307</v>
      </c>
      <c r="C59" s="249" t="s">
        <v>794</v>
      </c>
      <c r="D59" s="249" t="s">
        <v>551</v>
      </c>
      <c r="E59" s="249" t="s">
        <v>141</v>
      </c>
      <c r="F59" s="253">
        <v>2445687</v>
      </c>
      <c r="G59" s="253">
        <v>1614402</v>
      </c>
      <c r="H59" s="253">
        <v>831285</v>
      </c>
      <c r="I59" s="252">
        <v>1389.5483859231001</v>
      </c>
      <c r="N59" s="245" t="s">
        <v>681</v>
      </c>
      <c r="O59" s="255" t="s">
        <v>549</v>
      </c>
    </row>
    <row r="60" spans="2:15" ht="15" thickBot="1" x14ac:dyDescent="0.4">
      <c r="B60" s="92" t="s">
        <v>308</v>
      </c>
      <c r="C60" s="249" t="s">
        <v>309</v>
      </c>
      <c r="D60" s="249" t="s">
        <v>551</v>
      </c>
      <c r="E60" s="249" t="s">
        <v>141</v>
      </c>
      <c r="F60" s="253">
        <v>17600</v>
      </c>
      <c r="G60" s="253">
        <v>0</v>
      </c>
      <c r="H60" s="253">
        <v>17600</v>
      </c>
      <c r="I60" s="252">
        <v>0</v>
      </c>
      <c r="N60" s="245" t="s">
        <v>4</v>
      </c>
      <c r="O60" s="256" t="s">
        <v>550</v>
      </c>
    </row>
    <row r="61" spans="2:15" x14ac:dyDescent="0.35">
      <c r="B61" s="92" t="s">
        <v>310</v>
      </c>
      <c r="C61" s="249" t="s">
        <v>311</v>
      </c>
      <c r="D61" s="249" t="s">
        <v>552</v>
      </c>
      <c r="E61" s="249" t="s">
        <v>142</v>
      </c>
      <c r="F61" s="253">
        <v>2766196</v>
      </c>
      <c r="G61" s="253">
        <v>1999051</v>
      </c>
      <c r="H61" s="253">
        <v>767145</v>
      </c>
      <c r="I61" s="252">
        <v>0</v>
      </c>
      <c r="N61" s="245" t="s">
        <v>682</v>
      </c>
    </row>
    <row r="62" spans="2:15" x14ac:dyDescent="0.35">
      <c r="B62" s="92" t="s">
        <v>312</v>
      </c>
      <c r="C62" s="249" t="s">
        <v>313</v>
      </c>
      <c r="D62" s="249" t="s">
        <v>552</v>
      </c>
      <c r="E62" s="249" t="s">
        <v>141</v>
      </c>
      <c r="F62" s="253">
        <v>22367363</v>
      </c>
      <c r="G62" s="253">
        <v>10014307</v>
      </c>
      <c r="H62" s="253">
        <v>12353056</v>
      </c>
      <c r="I62" s="252">
        <v>29219.87812813498</v>
      </c>
      <c r="N62" s="245" t="s">
        <v>683</v>
      </c>
    </row>
    <row r="63" spans="2:15" x14ac:dyDescent="0.35">
      <c r="B63" s="92" t="s">
        <v>314</v>
      </c>
      <c r="C63" s="249" t="s">
        <v>315</v>
      </c>
      <c r="D63" s="249" t="s">
        <v>551</v>
      </c>
      <c r="E63" s="249" t="s">
        <v>141</v>
      </c>
      <c r="F63" s="253">
        <v>30334</v>
      </c>
      <c r="G63" s="253">
        <v>0</v>
      </c>
      <c r="H63" s="253">
        <v>30334</v>
      </c>
      <c r="I63" s="252">
        <v>0</v>
      </c>
      <c r="N63" s="245" t="s">
        <v>188</v>
      </c>
    </row>
    <row r="64" spans="2:15" x14ac:dyDescent="0.35">
      <c r="B64" s="92" t="s">
        <v>316</v>
      </c>
      <c r="C64" s="249" t="s">
        <v>317</v>
      </c>
      <c r="D64" s="249" t="s">
        <v>552</v>
      </c>
      <c r="E64" s="249" t="s">
        <v>142</v>
      </c>
      <c r="F64" s="253">
        <v>8184346</v>
      </c>
      <c r="G64" s="253">
        <v>6722674</v>
      </c>
      <c r="H64" s="253">
        <v>1461672</v>
      </c>
      <c r="I64" s="252">
        <v>0</v>
      </c>
      <c r="N64" s="245" t="s">
        <v>684</v>
      </c>
    </row>
    <row r="65" spans="2:14" x14ac:dyDescent="0.35">
      <c r="B65" s="92" t="s">
        <v>318</v>
      </c>
      <c r="C65" s="249" t="s">
        <v>319</v>
      </c>
      <c r="D65" s="249" t="s">
        <v>552</v>
      </c>
      <c r="E65" s="249" t="s">
        <v>142</v>
      </c>
      <c r="F65" s="253">
        <v>4404176</v>
      </c>
      <c r="G65" s="253">
        <v>2867346</v>
      </c>
      <c r="H65" s="253">
        <v>1536830</v>
      </c>
      <c r="I65" s="252">
        <v>0</v>
      </c>
      <c r="N65" s="245" t="s">
        <v>685</v>
      </c>
    </row>
    <row r="66" spans="2:14" x14ac:dyDescent="0.35">
      <c r="B66" s="92" t="s">
        <v>320</v>
      </c>
      <c r="C66" s="249" t="s">
        <v>321</v>
      </c>
      <c r="D66" s="249" t="s">
        <v>552</v>
      </c>
      <c r="E66" s="249" t="s">
        <v>142</v>
      </c>
      <c r="F66" s="253">
        <v>87257</v>
      </c>
      <c r="G66" s="253">
        <v>0</v>
      </c>
      <c r="H66" s="253">
        <v>87257</v>
      </c>
      <c r="I66" s="252">
        <v>0</v>
      </c>
      <c r="N66" s="245" t="s">
        <v>67</v>
      </c>
    </row>
    <row r="67" spans="2:14" x14ac:dyDescent="0.35">
      <c r="B67" s="92" t="s">
        <v>795</v>
      </c>
      <c r="C67" s="249" t="s">
        <v>796</v>
      </c>
      <c r="D67" s="249" t="s">
        <v>551</v>
      </c>
      <c r="E67" s="249" t="s">
        <v>141</v>
      </c>
      <c r="F67" s="253">
        <v>0</v>
      </c>
      <c r="G67" s="253">
        <v>0</v>
      </c>
      <c r="H67" s="253">
        <v>0</v>
      </c>
      <c r="I67" s="252">
        <v>14883.617545435665</v>
      </c>
      <c r="J67" t="s">
        <v>818</v>
      </c>
      <c r="N67" s="245" t="s">
        <v>764</v>
      </c>
    </row>
    <row r="68" spans="2:14" x14ac:dyDescent="0.35">
      <c r="B68" s="92" t="s">
        <v>797</v>
      </c>
      <c r="C68" s="249" t="s">
        <v>798</v>
      </c>
      <c r="D68" s="249" t="s">
        <v>551</v>
      </c>
      <c r="E68" s="249" t="s">
        <v>141</v>
      </c>
      <c r="F68" s="253">
        <v>0</v>
      </c>
      <c r="G68" s="253">
        <v>0</v>
      </c>
      <c r="H68" s="253">
        <v>0</v>
      </c>
      <c r="I68" s="252">
        <v>32689.711602931697</v>
      </c>
      <c r="J68" t="s">
        <v>818</v>
      </c>
      <c r="N68" s="245" t="s">
        <v>765</v>
      </c>
    </row>
    <row r="69" spans="2:14" x14ac:dyDescent="0.35">
      <c r="B69" s="92" t="s">
        <v>322</v>
      </c>
      <c r="C69" s="249" t="s">
        <v>323</v>
      </c>
      <c r="D69" s="249" t="s">
        <v>551</v>
      </c>
      <c r="E69" s="249" t="s">
        <v>141</v>
      </c>
      <c r="F69" s="253">
        <v>146385044</v>
      </c>
      <c r="G69" s="253">
        <v>67712932</v>
      </c>
      <c r="H69" s="253">
        <v>78672112</v>
      </c>
      <c r="I69" s="252">
        <v>201261.76265004941</v>
      </c>
      <c r="N69" s="245" t="s">
        <v>686</v>
      </c>
    </row>
    <row r="70" spans="2:14" x14ac:dyDescent="0.35">
      <c r="B70" s="92" t="s">
        <v>799</v>
      </c>
      <c r="C70" s="249" t="s">
        <v>324</v>
      </c>
      <c r="D70" s="249" t="s">
        <v>551</v>
      </c>
      <c r="E70" s="249" t="s">
        <v>141</v>
      </c>
      <c r="F70" s="253">
        <v>0</v>
      </c>
      <c r="G70" s="253">
        <v>0</v>
      </c>
      <c r="H70" s="253">
        <v>0</v>
      </c>
      <c r="I70" s="252">
        <v>6286.3369295229359</v>
      </c>
      <c r="J70" t="s">
        <v>818</v>
      </c>
      <c r="N70" s="245" t="s">
        <v>68</v>
      </c>
    </row>
    <row r="71" spans="2:14" x14ac:dyDescent="0.35">
      <c r="B71" s="92" t="s">
        <v>800</v>
      </c>
      <c r="C71" s="249" t="s">
        <v>801</v>
      </c>
      <c r="D71" s="249" t="s">
        <v>551</v>
      </c>
      <c r="E71" s="249" t="s">
        <v>141</v>
      </c>
      <c r="F71" s="253">
        <v>0</v>
      </c>
      <c r="G71" s="253">
        <v>0</v>
      </c>
      <c r="H71" s="253">
        <v>0</v>
      </c>
      <c r="I71" s="252">
        <v>15960.91602205169</v>
      </c>
      <c r="J71" t="s">
        <v>823</v>
      </c>
      <c r="N71" s="245" t="s">
        <v>687</v>
      </c>
    </row>
    <row r="72" spans="2:14" x14ac:dyDescent="0.35">
      <c r="B72" s="92" t="s">
        <v>325</v>
      </c>
      <c r="C72" s="249" t="s">
        <v>326</v>
      </c>
      <c r="D72" s="249" t="s">
        <v>551</v>
      </c>
      <c r="E72" s="249" t="s">
        <v>141</v>
      </c>
      <c r="F72" s="253">
        <v>41680431</v>
      </c>
      <c r="G72" s="253">
        <v>1963594</v>
      </c>
      <c r="H72" s="253">
        <v>39716837</v>
      </c>
      <c r="I72" s="252">
        <v>58300.426557198931</v>
      </c>
      <c r="J72" t="s">
        <v>817</v>
      </c>
      <c r="N72" s="245" t="s">
        <v>190</v>
      </c>
    </row>
    <row r="73" spans="2:14" x14ac:dyDescent="0.35">
      <c r="B73" s="92" t="s">
        <v>15</v>
      </c>
      <c r="C73" s="249" t="s">
        <v>327</v>
      </c>
      <c r="D73" s="249" t="s">
        <v>551</v>
      </c>
      <c r="E73" s="249" t="s">
        <v>141</v>
      </c>
      <c r="F73" s="253">
        <v>34439114</v>
      </c>
      <c r="G73" s="253">
        <v>19243258</v>
      </c>
      <c r="H73" s="253">
        <v>15195856</v>
      </c>
      <c r="I73" s="252">
        <v>15861.3760474754</v>
      </c>
      <c r="J73" t="s">
        <v>817</v>
      </c>
      <c r="N73" s="245" t="s">
        <v>688</v>
      </c>
    </row>
    <row r="74" spans="2:14" x14ac:dyDescent="0.35">
      <c r="B74" s="92" t="s">
        <v>802</v>
      </c>
      <c r="C74" s="249" t="s">
        <v>328</v>
      </c>
      <c r="D74" s="249" t="s">
        <v>551</v>
      </c>
      <c r="E74" s="249" t="s">
        <v>141</v>
      </c>
      <c r="F74" s="253">
        <v>39269275</v>
      </c>
      <c r="G74" s="253">
        <v>18889546</v>
      </c>
      <c r="H74" s="253">
        <v>20379729</v>
      </c>
      <c r="I74" s="252">
        <v>61007.689434697197</v>
      </c>
      <c r="J74" t="s">
        <v>817</v>
      </c>
      <c r="N74" s="245" t="s">
        <v>69</v>
      </c>
    </row>
    <row r="75" spans="2:14" x14ac:dyDescent="0.35">
      <c r="B75" s="92" t="s">
        <v>329</v>
      </c>
      <c r="C75" s="249" t="s">
        <v>330</v>
      </c>
      <c r="D75" s="249" t="s">
        <v>551</v>
      </c>
      <c r="E75" s="249" t="s">
        <v>141</v>
      </c>
      <c r="F75" s="253">
        <v>103456003</v>
      </c>
      <c r="G75" s="253">
        <v>39490063</v>
      </c>
      <c r="H75" s="253">
        <v>63965940</v>
      </c>
      <c r="I75" s="252">
        <v>186518.66974676747</v>
      </c>
      <c r="N75" s="245" t="s">
        <v>689</v>
      </c>
    </row>
    <row r="76" spans="2:14" x14ac:dyDescent="0.35">
      <c r="B76" s="92" t="s">
        <v>803</v>
      </c>
      <c r="C76" s="249" t="s">
        <v>331</v>
      </c>
      <c r="D76" s="249" t="s">
        <v>551</v>
      </c>
      <c r="E76" s="249" t="s">
        <v>141</v>
      </c>
      <c r="F76" s="253">
        <v>0</v>
      </c>
      <c r="G76" s="253">
        <v>0</v>
      </c>
      <c r="H76" s="253">
        <v>0</v>
      </c>
      <c r="I76" s="252">
        <v>33830.120000000003</v>
      </c>
      <c r="J76" t="s">
        <v>818</v>
      </c>
      <c r="N76" s="245" t="s">
        <v>70</v>
      </c>
    </row>
    <row r="77" spans="2:14" x14ac:dyDescent="0.35">
      <c r="B77" s="92" t="s">
        <v>804</v>
      </c>
      <c r="C77" s="249" t="s">
        <v>332</v>
      </c>
      <c r="D77" s="249" t="s">
        <v>551</v>
      </c>
      <c r="E77" s="249" t="s">
        <v>141</v>
      </c>
      <c r="F77" s="253">
        <v>0</v>
      </c>
      <c r="G77" s="253">
        <v>0</v>
      </c>
      <c r="H77" s="253">
        <v>0</v>
      </c>
      <c r="I77" s="252">
        <v>7752.55</v>
      </c>
      <c r="J77" t="s">
        <v>818</v>
      </c>
      <c r="N77" s="245" t="s">
        <v>766</v>
      </c>
    </row>
    <row r="78" spans="2:14" x14ac:dyDescent="0.35">
      <c r="B78" s="92" t="s">
        <v>333</v>
      </c>
      <c r="C78" s="249" t="s">
        <v>334</v>
      </c>
      <c r="D78" s="249" t="s">
        <v>551</v>
      </c>
      <c r="E78" s="249" t="s">
        <v>141</v>
      </c>
      <c r="F78" s="253">
        <v>1066862</v>
      </c>
      <c r="G78" s="253">
        <v>833948</v>
      </c>
      <c r="H78" s="253">
        <v>232914</v>
      </c>
      <c r="I78" s="252">
        <v>905.39264887629997</v>
      </c>
      <c r="N78" s="245" t="s">
        <v>71</v>
      </c>
    </row>
    <row r="79" spans="2:14" x14ac:dyDescent="0.35">
      <c r="B79" s="92" t="s">
        <v>134</v>
      </c>
      <c r="C79" s="249" t="s">
        <v>137</v>
      </c>
      <c r="D79" s="249" t="s">
        <v>551</v>
      </c>
      <c r="E79" s="249" t="s">
        <v>141</v>
      </c>
      <c r="F79" s="253">
        <v>13363746</v>
      </c>
      <c r="G79" s="253">
        <v>6625481</v>
      </c>
      <c r="H79" s="253">
        <v>6738265</v>
      </c>
      <c r="I79" s="252">
        <v>15494.9666643694</v>
      </c>
      <c r="N79" s="245" t="s">
        <v>72</v>
      </c>
    </row>
    <row r="80" spans="2:14" x14ac:dyDescent="0.35">
      <c r="B80" s="92" t="s">
        <v>335</v>
      </c>
      <c r="C80" s="249" t="s">
        <v>336</v>
      </c>
      <c r="D80" s="249" t="s">
        <v>551</v>
      </c>
      <c r="E80" s="249" t="s">
        <v>141</v>
      </c>
      <c r="F80" s="253">
        <v>111285</v>
      </c>
      <c r="G80" s="253">
        <v>0</v>
      </c>
      <c r="H80" s="253">
        <v>111285</v>
      </c>
      <c r="I80" s="252">
        <v>0</v>
      </c>
      <c r="N80" s="245" t="s">
        <v>167</v>
      </c>
    </row>
    <row r="81" spans="2:14" x14ac:dyDescent="0.35">
      <c r="B81" s="92" t="s">
        <v>337</v>
      </c>
      <c r="C81" s="249" t="s">
        <v>338</v>
      </c>
      <c r="D81" s="249" t="s">
        <v>551</v>
      </c>
      <c r="E81" s="249" t="s">
        <v>141</v>
      </c>
      <c r="F81" s="253">
        <v>2053150</v>
      </c>
      <c r="G81" s="253">
        <v>413879</v>
      </c>
      <c r="H81" s="253">
        <v>1639271</v>
      </c>
      <c r="I81" s="252">
        <v>1040.4524528069101</v>
      </c>
      <c r="J81" t="s">
        <v>817</v>
      </c>
      <c r="N81" s="245" t="s">
        <v>690</v>
      </c>
    </row>
    <row r="82" spans="2:14" x14ac:dyDescent="0.35">
      <c r="B82" s="92" t="s">
        <v>339</v>
      </c>
      <c r="C82" s="249" t="s">
        <v>340</v>
      </c>
      <c r="D82" s="249" t="s">
        <v>551</v>
      </c>
      <c r="E82" s="249" t="s">
        <v>141</v>
      </c>
      <c r="F82" s="253">
        <v>0</v>
      </c>
      <c r="G82" s="253">
        <v>0</v>
      </c>
      <c r="H82" s="253">
        <v>0</v>
      </c>
      <c r="I82" s="252">
        <v>0</v>
      </c>
      <c r="N82" s="245" t="s">
        <v>168</v>
      </c>
    </row>
    <row r="83" spans="2:14" x14ac:dyDescent="0.35">
      <c r="B83" s="92" t="s">
        <v>341</v>
      </c>
      <c r="C83" s="249" t="s">
        <v>342</v>
      </c>
      <c r="D83" s="249" t="s">
        <v>551</v>
      </c>
      <c r="E83" s="249" t="s">
        <v>141</v>
      </c>
      <c r="F83" s="253">
        <v>8683107</v>
      </c>
      <c r="G83" s="253">
        <v>4483353</v>
      </c>
      <c r="H83" s="253">
        <v>4199754</v>
      </c>
      <c r="I83" s="252">
        <v>5687.7003084109001</v>
      </c>
      <c r="N83" s="245" t="s">
        <v>691</v>
      </c>
    </row>
    <row r="84" spans="2:14" x14ac:dyDescent="0.35">
      <c r="B84" s="92" t="s">
        <v>343</v>
      </c>
      <c r="C84" s="249" t="s">
        <v>805</v>
      </c>
      <c r="D84" s="249" t="s">
        <v>551</v>
      </c>
      <c r="E84" s="249" t="s">
        <v>141</v>
      </c>
      <c r="F84" s="253">
        <v>19070177</v>
      </c>
      <c r="G84" s="253">
        <v>7777745</v>
      </c>
      <c r="H84" s="253">
        <v>11292432</v>
      </c>
      <c r="I84" s="252">
        <v>22072.425094770701</v>
      </c>
      <c r="N84" s="245" t="s">
        <v>172</v>
      </c>
    </row>
    <row r="85" spans="2:14" x14ac:dyDescent="0.35">
      <c r="B85" s="92" t="s">
        <v>344</v>
      </c>
      <c r="C85" s="249" t="s">
        <v>345</v>
      </c>
      <c r="D85" s="249" t="s">
        <v>551</v>
      </c>
      <c r="E85" s="249" t="s">
        <v>141</v>
      </c>
      <c r="F85" s="253">
        <v>2699923</v>
      </c>
      <c r="G85" s="253">
        <v>204097</v>
      </c>
      <c r="H85" s="253">
        <v>2495826</v>
      </c>
      <c r="I85" s="252">
        <v>15604.0318186077</v>
      </c>
      <c r="N85" s="245" t="s">
        <v>73</v>
      </c>
    </row>
    <row r="86" spans="2:14" x14ac:dyDescent="0.35">
      <c r="B86" s="92" t="s">
        <v>346</v>
      </c>
      <c r="C86" s="249" t="s">
        <v>347</v>
      </c>
      <c r="D86" s="249" t="s">
        <v>552</v>
      </c>
      <c r="E86" s="249" t="s">
        <v>141</v>
      </c>
      <c r="F86" s="253">
        <v>1686733</v>
      </c>
      <c r="G86" s="253">
        <v>805896</v>
      </c>
      <c r="H86" s="253">
        <v>880837</v>
      </c>
      <c r="I86" s="252">
        <v>4798.5768553336902</v>
      </c>
      <c r="N86" s="245" t="s">
        <v>5</v>
      </c>
    </row>
    <row r="87" spans="2:14" x14ac:dyDescent="0.35">
      <c r="B87" s="92" t="s">
        <v>806</v>
      </c>
      <c r="C87" s="249" t="s">
        <v>807</v>
      </c>
      <c r="D87" s="249" t="s">
        <v>551</v>
      </c>
      <c r="E87" s="249" t="s">
        <v>141</v>
      </c>
      <c r="F87" s="253">
        <v>0</v>
      </c>
      <c r="G87" s="253">
        <v>0</v>
      </c>
      <c r="H87" s="253">
        <v>0</v>
      </c>
      <c r="I87" s="252">
        <v>0</v>
      </c>
      <c r="J87" t="s">
        <v>821</v>
      </c>
      <c r="N87" s="245" t="s">
        <v>74</v>
      </c>
    </row>
    <row r="88" spans="2:14" x14ac:dyDescent="0.35">
      <c r="B88" s="92" t="s">
        <v>348</v>
      </c>
      <c r="C88" s="249" t="s">
        <v>349</v>
      </c>
      <c r="D88" s="249" t="s">
        <v>552</v>
      </c>
      <c r="E88" s="249" t="s">
        <v>142</v>
      </c>
      <c r="F88" s="253">
        <v>8932341</v>
      </c>
      <c r="G88" s="253">
        <v>1682057</v>
      </c>
      <c r="H88" s="253">
        <v>7250284</v>
      </c>
      <c r="I88" s="252">
        <v>0</v>
      </c>
      <c r="J88" s="16"/>
      <c r="K88" s="16"/>
      <c r="N88" s="245" t="s">
        <v>767</v>
      </c>
    </row>
    <row r="89" spans="2:14" x14ac:dyDescent="0.35">
      <c r="B89" s="92" t="s">
        <v>350</v>
      </c>
      <c r="C89" s="249" t="s">
        <v>351</v>
      </c>
      <c r="D89" s="249" t="s">
        <v>551</v>
      </c>
      <c r="E89" s="249" t="s">
        <v>141</v>
      </c>
      <c r="F89" s="253">
        <v>1311221</v>
      </c>
      <c r="G89" s="253">
        <v>1188994</v>
      </c>
      <c r="H89" s="253">
        <v>122227</v>
      </c>
      <c r="I89" s="252">
        <v>0</v>
      </c>
      <c r="J89" s="16"/>
      <c r="K89" s="16"/>
      <c r="N89" s="245" t="s">
        <v>75</v>
      </c>
    </row>
    <row r="90" spans="2:14" x14ac:dyDescent="0.35">
      <c r="B90" s="92" t="s">
        <v>353</v>
      </c>
      <c r="C90" s="249" t="s">
        <v>354</v>
      </c>
      <c r="D90" s="249" t="s">
        <v>551</v>
      </c>
      <c r="E90" s="249" t="s">
        <v>141</v>
      </c>
      <c r="F90" s="253">
        <v>652314</v>
      </c>
      <c r="G90" s="253">
        <v>0</v>
      </c>
      <c r="H90" s="253">
        <v>652314</v>
      </c>
      <c r="I90" s="252">
        <v>761.83279991649999</v>
      </c>
      <c r="N90" s="245" t="s">
        <v>76</v>
      </c>
    </row>
    <row r="91" spans="2:14" x14ac:dyDescent="0.35">
      <c r="B91" s="92" t="s">
        <v>355</v>
      </c>
      <c r="C91" s="249" t="s">
        <v>356</v>
      </c>
      <c r="D91" s="249" t="s">
        <v>552</v>
      </c>
      <c r="E91" s="249" t="s">
        <v>142</v>
      </c>
      <c r="F91" s="253">
        <v>34192</v>
      </c>
      <c r="G91" s="253">
        <v>0</v>
      </c>
      <c r="H91" s="253">
        <v>34192</v>
      </c>
      <c r="I91" s="252">
        <v>0</v>
      </c>
      <c r="N91" s="245" t="s">
        <v>77</v>
      </c>
    </row>
    <row r="92" spans="2:14" x14ac:dyDescent="0.35">
      <c r="B92" s="92" t="s">
        <v>357</v>
      </c>
      <c r="C92" s="249" t="s">
        <v>358</v>
      </c>
      <c r="D92" s="249" t="s">
        <v>552</v>
      </c>
      <c r="E92" s="249" t="s">
        <v>141</v>
      </c>
      <c r="F92" s="253">
        <v>1218272</v>
      </c>
      <c r="G92" s="253">
        <v>991523</v>
      </c>
      <c r="H92" s="253">
        <v>226749</v>
      </c>
      <c r="I92" s="252">
        <v>0</v>
      </c>
      <c r="N92" s="245" t="s">
        <v>78</v>
      </c>
    </row>
    <row r="93" spans="2:14" x14ac:dyDescent="0.35">
      <c r="B93" s="92" t="s">
        <v>359</v>
      </c>
      <c r="C93" s="249" t="s">
        <v>808</v>
      </c>
      <c r="D93" s="249" t="s">
        <v>551</v>
      </c>
      <c r="E93" s="249" t="s">
        <v>141</v>
      </c>
      <c r="F93" s="253">
        <v>3683135</v>
      </c>
      <c r="G93" s="253">
        <v>3035419</v>
      </c>
      <c r="H93" s="253">
        <v>647716</v>
      </c>
      <c r="I93" s="252">
        <v>2291.5898825286999</v>
      </c>
      <c r="N93" s="245" t="s">
        <v>79</v>
      </c>
    </row>
    <row r="94" spans="2:14" x14ac:dyDescent="0.35">
      <c r="B94" s="92" t="s">
        <v>133</v>
      </c>
      <c r="C94" s="249" t="s">
        <v>138</v>
      </c>
      <c r="D94" s="249" t="s">
        <v>551</v>
      </c>
      <c r="E94" s="249" t="s">
        <v>141</v>
      </c>
      <c r="F94" s="253">
        <v>1372692</v>
      </c>
      <c r="G94" s="253">
        <v>223876</v>
      </c>
      <c r="H94" s="253">
        <v>1148816</v>
      </c>
      <c r="I94" s="252">
        <v>2964.6108717055999</v>
      </c>
      <c r="N94" s="245" t="s">
        <v>175</v>
      </c>
    </row>
    <row r="95" spans="2:14" x14ac:dyDescent="0.35">
      <c r="B95" s="92" t="s">
        <v>360</v>
      </c>
      <c r="C95" s="249" t="s">
        <v>361</v>
      </c>
      <c r="D95" s="249" t="s">
        <v>552</v>
      </c>
      <c r="E95" s="249" t="s">
        <v>142</v>
      </c>
      <c r="F95" s="253">
        <v>788907</v>
      </c>
      <c r="G95" s="253">
        <v>450865</v>
      </c>
      <c r="H95" s="253">
        <v>338042</v>
      </c>
      <c r="I95" s="252">
        <v>0</v>
      </c>
      <c r="N95" s="245" t="s">
        <v>6</v>
      </c>
    </row>
    <row r="96" spans="2:14" x14ac:dyDescent="0.35">
      <c r="B96" s="92" t="s">
        <v>362</v>
      </c>
      <c r="C96" s="249" t="s">
        <v>363</v>
      </c>
      <c r="D96" s="249" t="s">
        <v>551</v>
      </c>
      <c r="E96" s="249" t="s">
        <v>141</v>
      </c>
      <c r="F96" s="253">
        <v>1413417</v>
      </c>
      <c r="G96" s="253">
        <v>1020380</v>
      </c>
      <c r="H96" s="253">
        <v>393037</v>
      </c>
      <c r="I96" s="252">
        <v>2047.5163840014</v>
      </c>
      <c r="N96" s="245" t="s">
        <v>177</v>
      </c>
    </row>
    <row r="97" spans="2:14" x14ac:dyDescent="0.35">
      <c r="B97" s="92" t="s">
        <v>809</v>
      </c>
      <c r="C97" s="249" t="s">
        <v>364</v>
      </c>
      <c r="D97" s="249" t="s">
        <v>551</v>
      </c>
      <c r="E97" s="249" t="s">
        <v>141</v>
      </c>
      <c r="F97" s="253">
        <v>183737</v>
      </c>
      <c r="G97" s="253">
        <v>85000</v>
      </c>
      <c r="H97" s="253">
        <v>98737</v>
      </c>
      <c r="I97" s="252">
        <v>0</v>
      </c>
      <c r="J97" t="s">
        <v>819</v>
      </c>
      <c r="N97" s="245" t="s">
        <v>7</v>
      </c>
    </row>
    <row r="98" spans="2:14" x14ac:dyDescent="0.35">
      <c r="B98" s="92" t="s">
        <v>365</v>
      </c>
      <c r="C98" s="249" t="s">
        <v>660</v>
      </c>
      <c r="D98" s="249" t="s">
        <v>551</v>
      </c>
      <c r="E98" s="249" t="s">
        <v>141</v>
      </c>
      <c r="F98" s="253">
        <v>500233</v>
      </c>
      <c r="G98" s="253">
        <v>106615</v>
      </c>
      <c r="H98" s="253">
        <v>393618</v>
      </c>
      <c r="I98" s="252">
        <v>0</v>
      </c>
      <c r="N98" s="245" t="s">
        <v>692</v>
      </c>
    </row>
    <row r="99" spans="2:14" x14ac:dyDescent="0.35">
      <c r="B99" s="92" t="s">
        <v>366</v>
      </c>
      <c r="C99" s="249" t="s">
        <v>810</v>
      </c>
      <c r="D99" s="249" t="s">
        <v>552</v>
      </c>
      <c r="E99" s="249" t="s">
        <v>142</v>
      </c>
      <c r="F99" s="253">
        <v>2062134</v>
      </c>
      <c r="G99" s="253">
        <v>1625792</v>
      </c>
      <c r="H99" s="253">
        <v>436342</v>
      </c>
      <c r="I99" s="252">
        <v>0</v>
      </c>
      <c r="N99" s="245" t="s">
        <v>693</v>
      </c>
    </row>
    <row r="100" spans="2:14" x14ac:dyDescent="0.35">
      <c r="B100" s="92" t="s">
        <v>367</v>
      </c>
      <c r="C100" s="249" t="s">
        <v>368</v>
      </c>
      <c r="D100" s="249" t="s">
        <v>552</v>
      </c>
      <c r="E100" s="249" t="s">
        <v>142</v>
      </c>
      <c r="F100" s="253">
        <v>1231232</v>
      </c>
      <c r="G100" s="253">
        <v>681848</v>
      </c>
      <c r="H100" s="253">
        <v>549384</v>
      </c>
      <c r="I100" s="252">
        <v>0</v>
      </c>
      <c r="N100" s="245" t="s">
        <v>194</v>
      </c>
    </row>
    <row r="101" spans="2:14" x14ac:dyDescent="0.35">
      <c r="B101" s="92" t="s">
        <v>369</v>
      </c>
      <c r="C101" s="249" t="s">
        <v>370</v>
      </c>
      <c r="D101" s="249" t="s">
        <v>552</v>
      </c>
      <c r="E101" s="249" t="s">
        <v>142</v>
      </c>
      <c r="F101" s="253">
        <v>189024</v>
      </c>
      <c r="G101" s="253">
        <v>176218</v>
      </c>
      <c r="H101" s="253">
        <v>12806</v>
      </c>
      <c r="I101" s="252">
        <v>0</v>
      </c>
      <c r="N101" s="245" t="s">
        <v>768</v>
      </c>
    </row>
    <row r="102" spans="2:14" x14ac:dyDescent="0.35">
      <c r="B102" s="92" t="s">
        <v>371</v>
      </c>
      <c r="C102" s="249" t="s">
        <v>372</v>
      </c>
      <c r="D102" s="249" t="s">
        <v>551</v>
      </c>
      <c r="E102" s="249" t="s">
        <v>141</v>
      </c>
      <c r="F102" s="253">
        <v>59667</v>
      </c>
      <c r="G102" s="253">
        <v>0</v>
      </c>
      <c r="H102" s="253">
        <v>59667</v>
      </c>
      <c r="I102" s="252">
        <v>0</v>
      </c>
      <c r="N102" s="245" t="s">
        <v>80</v>
      </c>
    </row>
    <row r="103" spans="2:14" x14ac:dyDescent="0.35">
      <c r="B103" s="92" t="s">
        <v>373</v>
      </c>
      <c r="C103" s="249" t="s">
        <v>374</v>
      </c>
      <c r="D103" s="249" t="s">
        <v>551</v>
      </c>
      <c r="E103" s="249" t="s">
        <v>141</v>
      </c>
      <c r="F103" s="253">
        <v>2319862</v>
      </c>
      <c r="G103" s="253">
        <v>1056853</v>
      </c>
      <c r="H103" s="253">
        <v>1263009</v>
      </c>
      <c r="I103" s="252">
        <v>1363.2914175699</v>
      </c>
      <c r="N103" s="245" t="s">
        <v>81</v>
      </c>
    </row>
    <row r="104" spans="2:14" x14ac:dyDescent="0.35">
      <c r="B104" s="92" t="s">
        <v>375</v>
      </c>
      <c r="C104" s="249" t="s">
        <v>376</v>
      </c>
      <c r="D104" s="249" t="s">
        <v>551</v>
      </c>
      <c r="E104" s="249" t="s">
        <v>141</v>
      </c>
      <c r="F104" s="253">
        <v>1429222</v>
      </c>
      <c r="G104" s="253">
        <v>1086682</v>
      </c>
      <c r="H104" s="253">
        <v>342540</v>
      </c>
      <c r="I104" s="252">
        <v>1171.6854165602301</v>
      </c>
      <c r="N104" s="245" t="s">
        <v>179</v>
      </c>
    </row>
    <row r="105" spans="2:14" x14ac:dyDescent="0.35">
      <c r="B105" s="92" t="s">
        <v>377</v>
      </c>
      <c r="C105" s="249" t="s">
        <v>378</v>
      </c>
      <c r="D105" s="249" t="s">
        <v>551</v>
      </c>
      <c r="E105" s="249" t="s">
        <v>141</v>
      </c>
      <c r="F105" s="253">
        <v>519548</v>
      </c>
      <c r="G105" s="253">
        <v>0</v>
      </c>
      <c r="H105" s="253">
        <v>519548</v>
      </c>
      <c r="I105" s="252">
        <v>0</v>
      </c>
      <c r="N105" s="245" t="s">
        <v>769</v>
      </c>
    </row>
    <row r="106" spans="2:14" x14ac:dyDescent="0.35">
      <c r="B106" s="92" t="s">
        <v>379</v>
      </c>
      <c r="C106" s="249" t="s">
        <v>380</v>
      </c>
      <c r="D106" s="249" t="s">
        <v>551</v>
      </c>
      <c r="E106" s="249" t="s">
        <v>141</v>
      </c>
      <c r="F106" s="253">
        <v>408616</v>
      </c>
      <c r="G106" s="253">
        <v>0</v>
      </c>
      <c r="H106" s="253">
        <v>408616</v>
      </c>
      <c r="I106" s="252">
        <v>1049.7181168942</v>
      </c>
      <c r="N106" s="245" t="s">
        <v>82</v>
      </c>
    </row>
    <row r="107" spans="2:14" x14ac:dyDescent="0.35">
      <c r="B107" s="92" t="s">
        <v>381</v>
      </c>
      <c r="C107" s="249" t="s">
        <v>382</v>
      </c>
      <c r="D107" s="249" t="s">
        <v>551</v>
      </c>
      <c r="E107" s="249" t="s">
        <v>141</v>
      </c>
      <c r="F107" s="253">
        <v>1256485</v>
      </c>
      <c r="G107" s="253">
        <v>181453</v>
      </c>
      <c r="H107" s="253">
        <v>1075032</v>
      </c>
      <c r="I107" s="252">
        <v>1737.9259759121001</v>
      </c>
      <c r="N107" s="245" t="s">
        <v>83</v>
      </c>
    </row>
    <row r="108" spans="2:14" x14ac:dyDescent="0.35">
      <c r="B108" s="92" t="s">
        <v>383</v>
      </c>
      <c r="C108" s="249" t="s">
        <v>384</v>
      </c>
      <c r="D108" s="249" t="s">
        <v>551</v>
      </c>
      <c r="E108" s="249" t="s">
        <v>141</v>
      </c>
      <c r="F108" s="253">
        <v>70592</v>
      </c>
      <c r="G108" s="253">
        <v>60289</v>
      </c>
      <c r="H108" s="253">
        <v>10303</v>
      </c>
      <c r="I108" s="252">
        <v>0</v>
      </c>
      <c r="N108" s="245" t="s">
        <v>770</v>
      </c>
    </row>
    <row r="109" spans="2:14" x14ac:dyDescent="0.35">
      <c r="B109" s="92" t="s">
        <v>385</v>
      </c>
      <c r="C109" s="249" t="s">
        <v>386</v>
      </c>
      <c r="D109" s="249" t="s">
        <v>552</v>
      </c>
      <c r="E109" s="249" t="s">
        <v>141</v>
      </c>
      <c r="F109" s="253">
        <v>66887314</v>
      </c>
      <c r="G109" s="253">
        <v>7472904</v>
      </c>
      <c r="H109" s="253">
        <v>59414410</v>
      </c>
      <c r="I109" s="252">
        <v>76561.971912629058</v>
      </c>
      <c r="N109" s="245" t="s">
        <v>84</v>
      </c>
    </row>
    <row r="110" spans="2:14" x14ac:dyDescent="0.35">
      <c r="B110" s="92" t="s">
        <v>811</v>
      </c>
      <c r="C110" s="249" t="s">
        <v>812</v>
      </c>
      <c r="D110" s="249" t="s">
        <v>551</v>
      </c>
      <c r="E110" s="249" t="s">
        <v>141</v>
      </c>
      <c r="F110" s="253">
        <v>0</v>
      </c>
      <c r="G110" s="253">
        <v>0</v>
      </c>
      <c r="H110" s="253">
        <v>0</v>
      </c>
      <c r="I110" s="252">
        <v>0</v>
      </c>
      <c r="J110" t="s">
        <v>820</v>
      </c>
      <c r="N110" s="245" t="s">
        <v>694</v>
      </c>
    </row>
    <row r="111" spans="2:14" x14ac:dyDescent="0.35">
      <c r="B111" s="92" t="s">
        <v>387</v>
      </c>
      <c r="C111" s="249" t="s">
        <v>388</v>
      </c>
      <c r="D111" s="249" t="s">
        <v>551</v>
      </c>
      <c r="E111" s="249" t="s">
        <v>141</v>
      </c>
      <c r="F111" s="253">
        <v>2486</v>
      </c>
      <c r="G111" s="253">
        <v>0</v>
      </c>
      <c r="H111" s="253">
        <v>2486</v>
      </c>
      <c r="I111" s="252">
        <v>0</v>
      </c>
      <c r="N111" s="245" t="s">
        <v>695</v>
      </c>
    </row>
    <row r="112" spans="2:14" x14ac:dyDescent="0.35">
      <c r="B112" s="92" t="s">
        <v>389</v>
      </c>
      <c r="C112" s="249" t="s">
        <v>390</v>
      </c>
      <c r="D112" s="249" t="s">
        <v>552</v>
      </c>
      <c r="E112" s="249" t="s">
        <v>142</v>
      </c>
      <c r="F112" s="253">
        <v>122953</v>
      </c>
      <c r="G112" s="253">
        <v>86779</v>
      </c>
      <c r="H112" s="253">
        <v>36174</v>
      </c>
      <c r="I112" s="252">
        <v>0</v>
      </c>
      <c r="N112" s="245" t="s">
        <v>85</v>
      </c>
    </row>
    <row r="113" spans="2:14" x14ac:dyDescent="0.35">
      <c r="B113" s="92" t="s">
        <v>391</v>
      </c>
      <c r="C113" s="249" t="s">
        <v>392</v>
      </c>
      <c r="D113" s="249" t="s">
        <v>552</v>
      </c>
      <c r="E113" s="249" t="s">
        <v>141</v>
      </c>
      <c r="F113" s="253">
        <v>285436</v>
      </c>
      <c r="G113" s="253">
        <v>120390</v>
      </c>
      <c r="H113" s="253">
        <v>165046</v>
      </c>
      <c r="I113" s="252">
        <v>883.90343723682008</v>
      </c>
      <c r="N113" s="245" t="s">
        <v>86</v>
      </c>
    </row>
    <row r="114" spans="2:14" x14ac:dyDescent="0.35">
      <c r="B114" s="92" t="s">
        <v>393</v>
      </c>
      <c r="C114" s="249" t="s">
        <v>394</v>
      </c>
      <c r="D114" s="249" t="s">
        <v>551</v>
      </c>
      <c r="E114" s="249" t="s">
        <v>141</v>
      </c>
      <c r="F114" s="253">
        <v>385184</v>
      </c>
      <c r="G114" s="253">
        <v>291709</v>
      </c>
      <c r="H114" s="253">
        <v>93475</v>
      </c>
      <c r="I114" s="252">
        <v>0</v>
      </c>
      <c r="N114" s="245" t="s">
        <v>771</v>
      </c>
    </row>
    <row r="115" spans="2:14" x14ac:dyDescent="0.35">
      <c r="B115" s="92" t="s">
        <v>395</v>
      </c>
      <c r="C115" s="249" t="s">
        <v>396</v>
      </c>
      <c r="D115" s="249" t="s">
        <v>551</v>
      </c>
      <c r="E115" s="249" t="s">
        <v>141</v>
      </c>
      <c r="F115" s="253">
        <v>8479</v>
      </c>
      <c r="G115" s="253">
        <v>1911</v>
      </c>
      <c r="H115" s="253">
        <v>6568</v>
      </c>
      <c r="I115" s="252">
        <v>0</v>
      </c>
      <c r="N115" s="245" t="s">
        <v>661</v>
      </c>
    </row>
    <row r="116" spans="2:14" x14ac:dyDescent="0.35">
      <c r="B116" s="92" t="s">
        <v>397</v>
      </c>
      <c r="C116" s="249" t="s">
        <v>398</v>
      </c>
      <c r="D116" s="249" t="s">
        <v>552</v>
      </c>
      <c r="E116" s="249" t="s">
        <v>142</v>
      </c>
      <c r="F116" s="253">
        <v>1320958</v>
      </c>
      <c r="G116" s="253">
        <v>909534</v>
      </c>
      <c r="H116" s="253">
        <v>411424</v>
      </c>
      <c r="I116" s="252">
        <v>0</v>
      </c>
      <c r="N116" s="245" t="s">
        <v>696</v>
      </c>
    </row>
    <row r="117" spans="2:14" x14ac:dyDescent="0.35">
      <c r="B117" s="92" t="s">
        <v>399</v>
      </c>
      <c r="C117" s="249" t="s">
        <v>400</v>
      </c>
      <c r="D117" s="249" t="s">
        <v>551</v>
      </c>
      <c r="E117" s="249" t="s">
        <v>141</v>
      </c>
      <c r="F117" s="253">
        <v>9086255</v>
      </c>
      <c r="G117" s="253">
        <v>5281450</v>
      </c>
      <c r="H117" s="253">
        <v>3804805</v>
      </c>
      <c r="I117" s="252">
        <v>3234.0334733641998</v>
      </c>
      <c r="N117" s="245" t="s">
        <v>772</v>
      </c>
    </row>
    <row r="118" spans="2:14" x14ac:dyDescent="0.35">
      <c r="B118" s="92" t="s">
        <v>401</v>
      </c>
      <c r="C118" s="249" t="s">
        <v>402</v>
      </c>
      <c r="D118" s="249" t="s">
        <v>552</v>
      </c>
      <c r="E118" s="249" t="s">
        <v>141</v>
      </c>
      <c r="F118" s="253">
        <v>264597</v>
      </c>
      <c r="G118" s="253">
        <v>180572</v>
      </c>
      <c r="H118" s="253">
        <v>84025</v>
      </c>
      <c r="I118" s="252">
        <v>594.93202896139996</v>
      </c>
      <c r="N118" s="245" t="s">
        <v>8</v>
      </c>
    </row>
    <row r="119" spans="2:14" x14ac:dyDescent="0.35">
      <c r="B119" s="92" t="s">
        <v>403</v>
      </c>
      <c r="C119" s="249" t="s">
        <v>404</v>
      </c>
      <c r="D119" s="249" t="s">
        <v>551</v>
      </c>
      <c r="E119" s="249" t="s">
        <v>141</v>
      </c>
      <c r="F119" s="253">
        <v>98600</v>
      </c>
      <c r="G119" s="253">
        <v>0</v>
      </c>
      <c r="H119" s="253">
        <v>98600</v>
      </c>
      <c r="I119" s="252">
        <v>0</v>
      </c>
      <c r="N119" s="245" t="s">
        <v>88</v>
      </c>
    </row>
    <row r="120" spans="2:14" x14ac:dyDescent="0.35">
      <c r="B120" s="92" t="s">
        <v>405</v>
      </c>
      <c r="C120" s="249" t="s">
        <v>406</v>
      </c>
      <c r="D120" s="249" t="s">
        <v>552</v>
      </c>
      <c r="E120" s="249" t="s">
        <v>142</v>
      </c>
      <c r="F120" s="253">
        <v>196373</v>
      </c>
      <c r="G120" s="253">
        <v>170964</v>
      </c>
      <c r="H120" s="253">
        <v>25409</v>
      </c>
      <c r="I120" s="252">
        <v>0</v>
      </c>
      <c r="N120" s="245" t="s">
        <v>697</v>
      </c>
    </row>
    <row r="121" spans="2:14" x14ac:dyDescent="0.35">
      <c r="B121" s="92" t="s">
        <v>407</v>
      </c>
      <c r="C121" s="249" t="s">
        <v>408</v>
      </c>
      <c r="D121" s="249" t="s">
        <v>551</v>
      </c>
      <c r="E121" s="249" t="s">
        <v>141</v>
      </c>
      <c r="F121" s="253">
        <v>1203526</v>
      </c>
      <c r="G121" s="253">
        <v>983831</v>
      </c>
      <c r="H121" s="253">
        <v>219695</v>
      </c>
      <c r="I121" s="252">
        <v>0</v>
      </c>
      <c r="N121" s="245" t="s">
        <v>773</v>
      </c>
    </row>
    <row r="122" spans="2:14" x14ac:dyDescent="0.35">
      <c r="B122" s="92" t="s">
        <v>409</v>
      </c>
      <c r="C122" s="249" t="s">
        <v>410</v>
      </c>
      <c r="D122" s="249" t="s">
        <v>552</v>
      </c>
      <c r="E122" s="249" t="s">
        <v>142</v>
      </c>
      <c r="F122" s="253">
        <v>984</v>
      </c>
      <c r="G122" s="253">
        <v>0</v>
      </c>
      <c r="H122" s="253">
        <v>984</v>
      </c>
      <c r="I122" s="252">
        <v>0</v>
      </c>
      <c r="N122" s="245" t="s">
        <v>198</v>
      </c>
    </row>
    <row r="123" spans="2:14" x14ac:dyDescent="0.35">
      <c r="B123" s="92" t="s">
        <v>411</v>
      </c>
      <c r="C123" s="249" t="s">
        <v>412</v>
      </c>
      <c r="D123" s="249" t="s">
        <v>552</v>
      </c>
      <c r="E123" s="249" t="s">
        <v>142</v>
      </c>
      <c r="F123" s="253">
        <v>129332</v>
      </c>
      <c r="G123" s="253">
        <v>62668</v>
      </c>
      <c r="H123" s="253">
        <v>66664</v>
      </c>
      <c r="I123" s="252">
        <v>0</v>
      </c>
      <c r="N123" s="245" t="s">
        <v>698</v>
      </c>
    </row>
    <row r="124" spans="2:14" x14ac:dyDescent="0.35">
      <c r="B124" s="92" t="s">
        <v>413</v>
      </c>
      <c r="C124" s="249" t="s">
        <v>414</v>
      </c>
      <c r="D124" s="249" t="s">
        <v>551</v>
      </c>
      <c r="E124" s="249" t="s">
        <v>141</v>
      </c>
      <c r="F124" s="253">
        <v>2830786</v>
      </c>
      <c r="G124" s="253">
        <v>2296927</v>
      </c>
      <c r="H124" s="253">
        <v>533859</v>
      </c>
      <c r="I124" s="252">
        <v>1232.2827007101</v>
      </c>
      <c r="N124" s="245" t="s">
        <v>699</v>
      </c>
    </row>
    <row r="125" spans="2:14" x14ac:dyDescent="0.35">
      <c r="B125" s="92" t="s">
        <v>415</v>
      </c>
      <c r="C125" s="249" t="s">
        <v>416</v>
      </c>
      <c r="D125" s="249" t="s">
        <v>551</v>
      </c>
      <c r="E125" s="249" t="s">
        <v>141</v>
      </c>
      <c r="F125" s="253">
        <v>2487</v>
      </c>
      <c r="G125" s="253">
        <v>0</v>
      </c>
      <c r="H125" s="253">
        <v>2487</v>
      </c>
      <c r="I125" s="252">
        <v>0</v>
      </c>
      <c r="J125" t="s">
        <v>824</v>
      </c>
      <c r="N125" s="245" t="s">
        <v>89</v>
      </c>
    </row>
    <row r="126" spans="2:14" x14ac:dyDescent="0.35">
      <c r="B126" s="92" t="s">
        <v>816</v>
      </c>
      <c r="C126" s="249" t="s">
        <v>417</v>
      </c>
      <c r="D126" s="249" t="s">
        <v>552</v>
      </c>
      <c r="E126" s="249" t="s">
        <v>142</v>
      </c>
      <c r="F126" s="253">
        <v>1514343</v>
      </c>
      <c r="G126" s="253">
        <v>724811</v>
      </c>
      <c r="H126" s="253">
        <v>789532</v>
      </c>
      <c r="I126" s="252">
        <v>0</v>
      </c>
      <c r="N126" s="245" t="s">
        <v>90</v>
      </c>
    </row>
    <row r="127" spans="2:14" x14ac:dyDescent="0.35">
      <c r="B127" s="92" t="s">
        <v>418</v>
      </c>
      <c r="C127" s="249" t="s">
        <v>813</v>
      </c>
      <c r="D127" s="249" t="s">
        <v>552</v>
      </c>
      <c r="E127" s="249" t="s">
        <v>142</v>
      </c>
      <c r="F127" s="253">
        <v>8441765</v>
      </c>
      <c r="G127" s="253">
        <v>5669178</v>
      </c>
      <c r="H127" s="253">
        <v>2772587</v>
      </c>
      <c r="I127" s="252">
        <v>0</v>
      </c>
      <c r="N127" s="245" t="s">
        <v>91</v>
      </c>
    </row>
    <row r="128" spans="2:14" x14ac:dyDescent="0.35">
      <c r="B128" s="92" t="s">
        <v>16</v>
      </c>
      <c r="C128" s="249" t="s">
        <v>419</v>
      </c>
      <c r="D128" s="249" t="s">
        <v>551</v>
      </c>
      <c r="E128" s="249" t="s">
        <v>141</v>
      </c>
      <c r="F128" s="253">
        <v>75601</v>
      </c>
      <c r="G128" s="253">
        <v>0</v>
      </c>
      <c r="H128" s="253">
        <v>75601</v>
      </c>
      <c r="I128" s="252">
        <v>0</v>
      </c>
      <c r="N128" s="245" t="s">
        <v>174</v>
      </c>
    </row>
    <row r="129" spans="2:14" x14ac:dyDescent="0.35">
      <c r="B129" s="92" t="s">
        <v>420</v>
      </c>
      <c r="C129" s="249" t="s">
        <v>421</v>
      </c>
      <c r="D129" s="249" t="s">
        <v>551</v>
      </c>
      <c r="E129" s="249" t="s">
        <v>141</v>
      </c>
      <c r="F129" s="253">
        <v>15667</v>
      </c>
      <c r="G129" s="253">
        <v>0</v>
      </c>
      <c r="H129" s="253">
        <v>15667</v>
      </c>
      <c r="I129" s="252">
        <v>0</v>
      </c>
      <c r="N129" s="245" t="s">
        <v>774</v>
      </c>
    </row>
    <row r="130" spans="2:14" x14ac:dyDescent="0.35">
      <c r="B130" s="92" t="s">
        <v>815</v>
      </c>
      <c r="C130" s="249" t="s">
        <v>422</v>
      </c>
      <c r="D130" s="249" t="s">
        <v>551</v>
      </c>
      <c r="E130" s="249" t="s">
        <v>141</v>
      </c>
      <c r="F130" s="253">
        <v>27898</v>
      </c>
      <c r="G130" s="253">
        <v>0</v>
      </c>
      <c r="H130" s="253">
        <v>27898</v>
      </c>
      <c r="I130" s="252">
        <v>0</v>
      </c>
      <c r="N130" s="245" t="s">
        <v>92</v>
      </c>
    </row>
    <row r="131" spans="2:14" x14ac:dyDescent="0.35">
      <c r="B131" s="92" t="s">
        <v>423</v>
      </c>
      <c r="C131" s="249" t="s">
        <v>424</v>
      </c>
      <c r="D131" s="249" t="s">
        <v>551</v>
      </c>
      <c r="E131" s="249" t="s">
        <v>141</v>
      </c>
      <c r="F131" s="253">
        <v>2308702</v>
      </c>
      <c r="G131" s="253">
        <v>1276275</v>
      </c>
      <c r="H131" s="253">
        <v>1032427</v>
      </c>
      <c r="I131" s="252">
        <v>1974.5859390789999</v>
      </c>
      <c r="N131" s="245" t="s">
        <v>775</v>
      </c>
    </row>
    <row r="132" spans="2:14" x14ac:dyDescent="0.35">
      <c r="B132" s="92" t="s">
        <v>425</v>
      </c>
      <c r="C132" s="249" t="s">
        <v>426</v>
      </c>
      <c r="D132" s="249" t="s">
        <v>551</v>
      </c>
      <c r="E132" s="249" t="s">
        <v>141</v>
      </c>
      <c r="F132" s="253">
        <v>930463</v>
      </c>
      <c r="G132" s="253">
        <v>785388</v>
      </c>
      <c r="H132" s="253">
        <v>145075</v>
      </c>
      <c r="I132" s="252">
        <v>0</v>
      </c>
      <c r="N132" s="245" t="s">
        <v>93</v>
      </c>
    </row>
    <row r="133" spans="2:14" x14ac:dyDescent="0.35">
      <c r="B133" s="92" t="s">
        <v>427</v>
      </c>
      <c r="C133" s="249" t="s">
        <v>428</v>
      </c>
      <c r="D133" s="249" t="s">
        <v>551</v>
      </c>
      <c r="E133" s="249" t="s">
        <v>141</v>
      </c>
      <c r="F133" s="253">
        <v>25820</v>
      </c>
      <c r="G133" s="253">
        <v>0</v>
      </c>
      <c r="H133" s="253">
        <v>25820</v>
      </c>
      <c r="I133" s="252">
        <v>0</v>
      </c>
      <c r="N133" s="245" t="s">
        <v>776</v>
      </c>
    </row>
    <row r="134" spans="2:14" x14ac:dyDescent="0.35">
      <c r="B134" s="92" t="s">
        <v>814</v>
      </c>
      <c r="C134" s="249" t="s">
        <v>352</v>
      </c>
      <c r="D134" s="249" t="s">
        <v>551</v>
      </c>
      <c r="E134" s="249" t="s">
        <v>141</v>
      </c>
      <c r="F134" s="253">
        <v>0</v>
      </c>
      <c r="G134" s="253">
        <v>0</v>
      </c>
      <c r="H134" s="253">
        <v>0</v>
      </c>
      <c r="I134" s="252">
        <v>15239.01</v>
      </c>
      <c r="J134" t="s">
        <v>822</v>
      </c>
      <c r="N134" s="245" t="s">
        <v>94</v>
      </c>
    </row>
    <row r="135" spans="2:14" x14ac:dyDescent="0.35">
      <c r="B135" s="92" t="s">
        <v>429</v>
      </c>
      <c r="C135" s="249" t="s">
        <v>430</v>
      </c>
      <c r="D135" s="249" t="s">
        <v>551</v>
      </c>
      <c r="E135" s="249" t="s">
        <v>141</v>
      </c>
      <c r="F135" s="253">
        <v>878548</v>
      </c>
      <c r="G135" s="253">
        <v>863219</v>
      </c>
      <c r="H135" s="253">
        <v>15329</v>
      </c>
      <c r="I135" s="252">
        <v>0</v>
      </c>
      <c r="N135" s="245" t="s">
        <v>95</v>
      </c>
    </row>
    <row r="136" spans="2:14" x14ac:dyDescent="0.35">
      <c r="B136" s="92" t="s">
        <v>431</v>
      </c>
      <c r="C136" s="249" t="s">
        <v>432</v>
      </c>
      <c r="D136" s="249" t="s">
        <v>551</v>
      </c>
      <c r="E136" s="249" t="s">
        <v>141</v>
      </c>
      <c r="F136" s="253">
        <v>130692</v>
      </c>
      <c r="G136" s="253">
        <v>0</v>
      </c>
      <c r="H136" s="253">
        <v>130692</v>
      </c>
      <c r="I136" s="252">
        <v>0</v>
      </c>
      <c r="N136" s="245" t="s">
        <v>700</v>
      </c>
    </row>
    <row r="137" spans="2:14" x14ac:dyDescent="0.35">
      <c r="B137" s="92" t="s">
        <v>433</v>
      </c>
      <c r="C137" s="249" t="s">
        <v>434</v>
      </c>
      <c r="D137" s="249" t="s">
        <v>551</v>
      </c>
      <c r="E137" s="249" t="s">
        <v>141</v>
      </c>
      <c r="F137" s="253">
        <v>2663287</v>
      </c>
      <c r="G137" s="253">
        <v>0</v>
      </c>
      <c r="H137" s="253">
        <v>2663287</v>
      </c>
      <c r="I137" s="252">
        <v>0</v>
      </c>
      <c r="N137" s="245" t="s">
        <v>701</v>
      </c>
    </row>
    <row r="138" spans="2:14" x14ac:dyDescent="0.35">
      <c r="B138" s="92" t="s">
        <v>435</v>
      </c>
      <c r="C138" s="249" t="s">
        <v>436</v>
      </c>
      <c r="D138" s="249" t="s">
        <v>552</v>
      </c>
      <c r="E138" s="249" t="s">
        <v>142</v>
      </c>
      <c r="F138" s="253">
        <v>25718</v>
      </c>
      <c r="G138" s="253">
        <v>0</v>
      </c>
      <c r="H138" s="253">
        <v>25718</v>
      </c>
      <c r="I138" s="252">
        <v>0</v>
      </c>
      <c r="N138" s="245" t="s">
        <v>702</v>
      </c>
    </row>
    <row r="139" spans="2:14" x14ac:dyDescent="0.35">
      <c r="B139" s="92" t="s">
        <v>437</v>
      </c>
      <c r="C139" s="249" t="s">
        <v>438</v>
      </c>
      <c r="D139" s="249" t="s">
        <v>551</v>
      </c>
      <c r="E139" s="249" t="s">
        <v>141</v>
      </c>
      <c r="F139" s="253">
        <v>42038</v>
      </c>
      <c r="G139" s="253">
        <v>0</v>
      </c>
      <c r="H139" s="253">
        <v>42038</v>
      </c>
      <c r="I139" s="252">
        <v>0</v>
      </c>
      <c r="N139" s="245" t="s">
        <v>196</v>
      </c>
    </row>
    <row r="140" spans="2:14" x14ac:dyDescent="0.35">
      <c r="B140" s="92" t="s">
        <v>439</v>
      </c>
      <c r="C140" s="249" t="s">
        <v>440</v>
      </c>
      <c r="D140" s="249" t="s">
        <v>551</v>
      </c>
      <c r="E140" s="249" t="s">
        <v>141</v>
      </c>
      <c r="F140" s="253">
        <v>7140</v>
      </c>
      <c r="G140" s="253">
        <v>0</v>
      </c>
      <c r="H140" s="253">
        <v>7140</v>
      </c>
      <c r="I140" s="252">
        <v>0</v>
      </c>
      <c r="N140" s="245" t="s">
        <v>14</v>
      </c>
    </row>
    <row r="141" spans="2:14" x14ac:dyDescent="0.35">
      <c r="B141" s="92" t="s">
        <v>441</v>
      </c>
      <c r="C141" s="249" t="s">
        <v>442</v>
      </c>
      <c r="D141" s="249" t="s">
        <v>551</v>
      </c>
      <c r="E141" s="249" t="s">
        <v>141</v>
      </c>
      <c r="F141" s="253">
        <v>21418</v>
      </c>
      <c r="G141" s="253">
        <v>0</v>
      </c>
      <c r="H141" s="253">
        <v>21418</v>
      </c>
      <c r="I141" s="252">
        <v>0</v>
      </c>
      <c r="N141" s="245" t="s">
        <v>777</v>
      </c>
    </row>
    <row r="142" spans="2:14" x14ac:dyDescent="0.35">
      <c r="B142" s="92" t="s">
        <v>443</v>
      </c>
      <c r="C142" s="249" t="s">
        <v>444</v>
      </c>
      <c r="D142" s="249" t="s">
        <v>551</v>
      </c>
      <c r="E142" s="249" t="s">
        <v>141</v>
      </c>
      <c r="F142" s="253">
        <v>4186342</v>
      </c>
      <c r="G142" s="253">
        <v>2507330</v>
      </c>
      <c r="H142" s="253">
        <v>1679012</v>
      </c>
      <c r="I142" s="252">
        <v>2007.1226571929001</v>
      </c>
      <c r="N142" s="245" t="s">
        <v>703</v>
      </c>
    </row>
    <row r="143" spans="2:14" x14ac:dyDescent="0.35">
      <c r="B143" s="92" t="s">
        <v>445</v>
      </c>
      <c r="C143" s="249" t="s">
        <v>446</v>
      </c>
      <c r="D143" s="249" t="s">
        <v>552</v>
      </c>
      <c r="E143" s="249" t="s">
        <v>141</v>
      </c>
      <c r="F143" s="253">
        <v>828719</v>
      </c>
      <c r="G143" s="253">
        <v>0</v>
      </c>
      <c r="H143" s="253">
        <v>828719</v>
      </c>
      <c r="I143" s="252">
        <v>2477.0198898030299</v>
      </c>
      <c r="N143" s="245" t="s">
        <v>704</v>
      </c>
    </row>
    <row r="144" spans="2:14" x14ac:dyDescent="0.35">
      <c r="B144" s="92" t="s">
        <v>447</v>
      </c>
      <c r="C144" s="249" t="s">
        <v>448</v>
      </c>
      <c r="D144" s="249" t="s">
        <v>552</v>
      </c>
      <c r="E144" s="249" t="s">
        <v>142</v>
      </c>
      <c r="F144" s="253">
        <v>3803055</v>
      </c>
      <c r="G144" s="253">
        <v>2253778</v>
      </c>
      <c r="H144" s="253">
        <v>1549277</v>
      </c>
      <c r="I144" s="252">
        <v>0</v>
      </c>
      <c r="N144" s="245" t="s">
        <v>778</v>
      </c>
    </row>
    <row r="145" spans="2:14" x14ac:dyDescent="0.35">
      <c r="B145" s="92" t="s">
        <v>449</v>
      </c>
      <c r="C145" s="249" t="s">
        <v>450</v>
      </c>
      <c r="D145" s="249" t="s">
        <v>552</v>
      </c>
      <c r="E145" s="249" t="s">
        <v>142</v>
      </c>
      <c r="F145" s="253">
        <v>1062</v>
      </c>
      <c r="G145" s="253">
        <v>0</v>
      </c>
      <c r="H145" s="253">
        <v>1062</v>
      </c>
      <c r="I145" s="252">
        <v>0</v>
      </c>
      <c r="N145" s="245" t="s">
        <v>705</v>
      </c>
    </row>
    <row r="146" spans="2:14" x14ac:dyDescent="0.35">
      <c r="B146" s="92" t="s">
        <v>451</v>
      </c>
      <c r="C146" s="249" t="s">
        <v>452</v>
      </c>
      <c r="D146" s="249" t="s">
        <v>552</v>
      </c>
      <c r="E146" s="249" t="s">
        <v>142</v>
      </c>
      <c r="F146" s="253">
        <v>0</v>
      </c>
      <c r="G146" s="253">
        <v>0</v>
      </c>
      <c r="H146" s="253">
        <v>0</v>
      </c>
      <c r="I146" s="252">
        <v>0</v>
      </c>
      <c r="N146" s="245" t="s">
        <v>706</v>
      </c>
    </row>
    <row r="147" spans="2:14" x14ac:dyDescent="0.35">
      <c r="B147" s="92" t="s">
        <v>453</v>
      </c>
      <c r="C147" s="249" t="s">
        <v>454</v>
      </c>
      <c r="D147" s="249" t="s">
        <v>551</v>
      </c>
      <c r="E147" s="249" t="s">
        <v>141</v>
      </c>
      <c r="F147" s="253">
        <v>308172</v>
      </c>
      <c r="G147" s="253">
        <v>125331</v>
      </c>
      <c r="H147" s="253">
        <v>182841</v>
      </c>
      <c r="I147" s="252">
        <v>0</v>
      </c>
      <c r="N147" s="245" t="s">
        <v>779</v>
      </c>
    </row>
    <row r="148" spans="2:14" x14ac:dyDescent="0.35">
      <c r="B148" s="92" t="s">
        <v>455</v>
      </c>
      <c r="C148" s="249" t="s">
        <v>456</v>
      </c>
      <c r="D148" s="249" t="s">
        <v>552</v>
      </c>
      <c r="E148" s="249" t="s">
        <v>142</v>
      </c>
      <c r="F148" s="253">
        <v>180681</v>
      </c>
      <c r="G148" s="253">
        <v>0</v>
      </c>
      <c r="H148" s="253">
        <v>180681</v>
      </c>
      <c r="I148" s="252">
        <v>0</v>
      </c>
      <c r="N148" s="245" t="s">
        <v>780</v>
      </c>
    </row>
    <row r="149" spans="2:14" x14ac:dyDescent="0.35">
      <c r="B149" s="92" t="s">
        <v>457</v>
      </c>
      <c r="C149" s="249" t="s">
        <v>458</v>
      </c>
      <c r="D149" s="249" t="s">
        <v>552</v>
      </c>
      <c r="E149" s="249" t="s">
        <v>142</v>
      </c>
      <c r="F149" s="253">
        <v>0</v>
      </c>
      <c r="G149" s="253">
        <v>0</v>
      </c>
      <c r="H149" s="253">
        <v>0</v>
      </c>
      <c r="I149" s="252">
        <v>0</v>
      </c>
      <c r="N149" s="245" t="s">
        <v>124</v>
      </c>
    </row>
    <row r="150" spans="2:14" x14ac:dyDescent="0.35">
      <c r="B150" s="92" t="s">
        <v>459</v>
      </c>
      <c r="C150" s="249" t="s">
        <v>460</v>
      </c>
      <c r="D150" s="249" t="s">
        <v>552</v>
      </c>
      <c r="E150" s="249" t="s">
        <v>142</v>
      </c>
      <c r="F150" s="253">
        <v>230724</v>
      </c>
      <c r="G150" s="253">
        <v>89660</v>
      </c>
      <c r="H150" s="253">
        <v>141064</v>
      </c>
      <c r="I150" s="252">
        <v>0</v>
      </c>
      <c r="N150" s="245" t="s">
        <v>707</v>
      </c>
    </row>
    <row r="151" spans="2:14" x14ac:dyDescent="0.35">
      <c r="B151" s="92" t="s">
        <v>461</v>
      </c>
      <c r="C151" s="249" t="s">
        <v>462</v>
      </c>
      <c r="D151" s="249" t="s">
        <v>551</v>
      </c>
      <c r="E151" s="249" t="s">
        <v>141</v>
      </c>
      <c r="F151" s="253">
        <v>1257910</v>
      </c>
      <c r="G151" s="253">
        <v>1091898</v>
      </c>
      <c r="H151" s="253">
        <v>166012</v>
      </c>
      <c r="I151" s="252">
        <v>0</v>
      </c>
      <c r="N151" s="245" t="s">
        <v>708</v>
      </c>
    </row>
    <row r="152" spans="2:14" x14ac:dyDescent="0.35">
      <c r="B152" s="92" t="s">
        <v>463</v>
      </c>
      <c r="C152" s="249" t="s">
        <v>464</v>
      </c>
      <c r="D152" s="249" t="s">
        <v>552</v>
      </c>
      <c r="E152" s="249" t="s">
        <v>142</v>
      </c>
      <c r="F152" s="253">
        <v>1820094</v>
      </c>
      <c r="G152" s="253">
        <v>983229</v>
      </c>
      <c r="H152" s="253">
        <v>836865</v>
      </c>
      <c r="I152" s="252">
        <v>0</v>
      </c>
      <c r="N152" s="245" t="s">
        <v>781</v>
      </c>
    </row>
    <row r="153" spans="2:14" x14ac:dyDescent="0.35">
      <c r="B153" s="92" t="s">
        <v>465</v>
      </c>
      <c r="C153" s="249" t="s">
        <v>466</v>
      </c>
      <c r="D153" s="249" t="s">
        <v>551</v>
      </c>
      <c r="E153" s="249" t="s">
        <v>142</v>
      </c>
      <c r="F153" s="253">
        <v>0</v>
      </c>
      <c r="G153" s="253">
        <v>0</v>
      </c>
      <c r="H153" s="253">
        <v>0</v>
      </c>
      <c r="I153" s="252">
        <v>0</v>
      </c>
      <c r="N153" s="245" t="s">
        <v>709</v>
      </c>
    </row>
    <row r="154" spans="2:14" x14ac:dyDescent="0.35">
      <c r="B154" s="92" t="s">
        <v>467</v>
      </c>
      <c r="C154" s="249" t="s">
        <v>468</v>
      </c>
      <c r="D154" s="249" t="s">
        <v>551</v>
      </c>
      <c r="E154" s="249" t="s">
        <v>141</v>
      </c>
      <c r="F154" s="253">
        <v>41245325</v>
      </c>
      <c r="G154" s="253">
        <v>23083174</v>
      </c>
      <c r="H154" s="253">
        <v>18162151</v>
      </c>
      <c r="I154" s="252">
        <v>70086.801861874206</v>
      </c>
      <c r="N154" s="245" t="s">
        <v>96</v>
      </c>
    </row>
    <row r="155" spans="2:14" x14ac:dyDescent="0.35">
      <c r="B155" s="92" t="s">
        <v>469</v>
      </c>
      <c r="C155" s="249" t="s">
        <v>470</v>
      </c>
      <c r="D155" s="249" t="s">
        <v>551</v>
      </c>
      <c r="E155" s="249" t="s">
        <v>141</v>
      </c>
      <c r="F155" s="253">
        <v>1622420</v>
      </c>
      <c r="G155" s="253">
        <v>1027823</v>
      </c>
      <c r="H155" s="253">
        <v>594597</v>
      </c>
      <c r="I155" s="252">
        <v>0</v>
      </c>
      <c r="N155" s="245" t="s">
        <v>710</v>
      </c>
    </row>
    <row r="156" spans="2:14" x14ac:dyDescent="0.35">
      <c r="B156" s="92" t="s">
        <v>471</v>
      </c>
      <c r="C156" s="249" t="s">
        <v>472</v>
      </c>
      <c r="D156" s="249" t="s">
        <v>552</v>
      </c>
      <c r="E156" s="249" t="s">
        <v>142</v>
      </c>
      <c r="F156" s="253">
        <v>325243</v>
      </c>
      <c r="G156" s="253">
        <v>88333</v>
      </c>
      <c r="H156" s="253">
        <v>236910</v>
      </c>
      <c r="I156" s="252">
        <v>0</v>
      </c>
      <c r="N156" s="245" t="s">
        <v>711</v>
      </c>
    </row>
    <row r="157" spans="2:14" x14ac:dyDescent="0.35">
      <c r="B157" s="92" t="s">
        <v>473</v>
      </c>
      <c r="C157" s="249" t="s">
        <v>474</v>
      </c>
      <c r="D157" s="249" t="s">
        <v>551</v>
      </c>
      <c r="E157" s="249" t="s">
        <v>141</v>
      </c>
      <c r="F157" s="253">
        <v>1148232</v>
      </c>
      <c r="G157" s="253">
        <v>695127</v>
      </c>
      <c r="H157" s="253">
        <v>453105</v>
      </c>
      <c r="I157" s="252">
        <v>0</v>
      </c>
      <c r="N157" s="245" t="s">
        <v>97</v>
      </c>
    </row>
    <row r="158" spans="2:14" x14ac:dyDescent="0.35">
      <c r="B158" s="92" t="s">
        <v>475</v>
      </c>
      <c r="C158" s="249" t="s">
        <v>476</v>
      </c>
      <c r="D158" s="249" t="s">
        <v>552</v>
      </c>
      <c r="E158" s="249" t="s">
        <v>142</v>
      </c>
      <c r="F158" s="253">
        <v>269407</v>
      </c>
      <c r="G158" s="253">
        <v>203980</v>
      </c>
      <c r="H158" s="253">
        <v>65427</v>
      </c>
      <c r="I158" s="252">
        <v>0</v>
      </c>
      <c r="N158" s="245" t="s">
        <v>712</v>
      </c>
    </row>
    <row r="159" spans="2:14" x14ac:dyDescent="0.35">
      <c r="B159" s="92" t="s">
        <v>477</v>
      </c>
      <c r="C159" s="249" t="s">
        <v>478</v>
      </c>
      <c r="D159" s="249" t="s">
        <v>552</v>
      </c>
      <c r="E159" s="249" t="s">
        <v>142</v>
      </c>
      <c r="F159" s="253">
        <v>150390</v>
      </c>
      <c r="G159" s="253">
        <v>0</v>
      </c>
      <c r="H159" s="253">
        <v>150390</v>
      </c>
      <c r="I159" s="252">
        <v>0</v>
      </c>
      <c r="N159" s="245" t="s">
        <v>713</v>
      </c>
    </row>
    <row r="160" spans="2:14" x14ac:dyDescent="0.35">
      <c r="B160" s="92" t="s">
        <v>479</v>
      </c>
      <c r="C160" s="249" t="s">
        <v>480</v>
      </c>
      <c r="D160" s="249" t="s">
        <v>552</v>
      </c>
      <c r="E160" s="249" t="s">
        <v>142</v>
      </c>
      <c r="F160" s="253">
        <v>1011899</v>
      </c>
      <c r="G160" s="253">
        <v>635852</v>
      </c>
      <c r="H160" s="253">
        <v>376047</v>
      </c>
      <c r="I160" s="252">
        <v>0</v>
      </c>
      <c r="N160" s="245" t="s">
        <v>98</v>
      </c>
    </row>
    <row r="161" spans="1:14" x14ac:dyDescent="0.35">
      <c r="B161" s="92" t="s">
        <v>481</v>
      </c>
      <c r="C161" s="249" t="s">
        <v>482</v>
      </c>
      <c r="D161" s="249" t="s">
        <v>552</v>
      </c>
      <c r="E161" s="249" t="s">
        <v>142</v>
      </c>
      <c r="F161" s="249">
        <v>241980</v>
      </c>
      <c r="G161" s="249">
        <v>100000</v>
      </c>
      <c r="H161" s="249">
        <v>141980</v>
      </c>
      <c r="I161" s="252">
        <v>0</v>
      </c>
      <c r="N161" s="245" t="s">
        <v>714</v>
      </c>
    </row>
    <row r="162" spans="1:14" x14ac:dyDescent="0.35">
      <c r="B162" s="92" t="s">
        <v>483</v>
      </c>
      <c r="C162" s="249" t="s">
        <v>484</v>
      </c>
      <c r="D162" s="249" t="s">
        <v>551</v>
      </c>
      <c r="E162" s="249" t="s">
        <v>141</v>
      </c>
      <c r="F162" s="249">
        <v>3237</v>
      </c>
      <c r="G162" s="249">
        <v>0</v>
      </c>
      <c r="H162" s="249">
        <v>3237</v>
      </c>
      <c r="I162" s="252">
        <v>0</v>
      </c>
      <c r="N162" s="245" t="s">
        <v>782</v>
      </c>
    </row>
    <row r="163" spans="1:14" ht="15" thickBot="1" x14ac:dyDescent="0.4">
      <c r="A163" s="249"/>
      <c r="B163" s="93" t="s">
        <v>485</v>
      </c>
      <c r="C163" s="250" t="s">
        <v>486</v>
      </c>
      <c r="D163" s="250" t="s">
        <v>552</v>
      </c>
      <c r="E163" s="250" t="s">
        <v>142</v>
      </c>
      <c r="F163" s="250">
        <v>21458</v>
      </c>
      <c r="G163" s="250">
        <v>0</v>
      </c>
      <c r="H163" s="250">
        <v>21458</v>
      </c>
      <c r="I163" s="256">
        <v>0</v>
      </c>
      <c r="J163" s="249"/>
      <c r="N163" s="245" t="s">
        <v>715</v>
      </c>
    </row>
    <row r="164" spans="1:14" x14ac:dyDescent="0.35">
      <c r="A164" s="249"/>
      <c r="B164" s="249"/>
      <c r="C164" s="249"/>
      <c r="D164" s="249"/>
      <c r="E164" s="249"/>
      <c r="F164" s="249"/>
      <c r="G164" s="249"/>
      <c r="H164" s="249"/>
      <c r="I164" s="249"/>
      <c r="J164" s="249"/>
      <c r="N164" s="245" t="s">
        <v>182</v>
      </c>
    </row>
    <row r="165" spans="1:14" x14ac:dyDescent="0.35">
      <c r="A165" s="249"/>
      <c r="B165" s="249"/>
      <c r="C165" s="249"/>
      <c r="D165" s="249"/>
      <c r="E165" s="249"/>
      <c r="F165" s="249"/>
      <c r="G165" s="249"/>
      <c r="H165" s="249"/>
      <c r="I165" s="249"/>
      <c r="J165" s="249"/>
      <c r="N165" s="245" t="s">
        <v>716</v>
      </c>
    </row>
    <row r="166" spans="1:14" x14ac:dyDescent="0.35">
      <c r="A166" s="249"/>
      <c r="B166" s="249"/>
      <c r="C166" s="249"/>
      <c r="D166" s="249"/>
      <c r="E166" s="249"/>
      <c r="F166" s="249"/>
      <c r="G166" s="249"/>
      <c r="H166" s="249"/>
      <c r="I166" s="249"/>
      <c r="J166" s="249"/>
      <c r="N166" s="245" t="s">
        <v>717</v>
      </c>
    </row>
    <row r="167" spans="1:14" x14ac:dyDescent="0.35">
      <c r="A167" s="249"/>
      <c r="B167" s="249"/>
      <c r="C167" s="249"/>
      <c r="D167" s="249"/>
      <c r="E167" s="249"/>
      <c r="F167" s="249"/>
      <c r="G167" s="249"/>
      <c r="H167" s="249"/>
      <c r="I167" s="249"/>
      <c r="J167" s="249"/>
      <c r="N167" s="245" t="s">
        <v>718</v>
      </c>
    </row>
    <row r="168" spans="1:14" x14ac:dyDescent="0.35">
      <c r="A168" s="249"/>
      <c r="B168" s="249"/>
      <c r="C168" s="249"/>
      <c r="D168" s="249"/>
      <c r="E168" s="249"/>
      <c r="F168" s="249"/>
      <c r="G168" s="249"/>
      <c r="H168" s="249"/>
      <c r="I168" s="249"/>
      <c r="J168" s="249"/>
      <c r="N168" s="245" t="s">
        <v>783</v>
      </c>
    </row>
    <row r="169" spans="1:14" x14ac:dyDescent="0.35">
      <c r="A169" s="249"/>
      <c r="B169" s="249"/>
      <c r="C169" s="249"/>
      <c r="D169" s="249"/>
      <c r="E169" s="249"/>
      <c r="F169" s="249"/>
      <c r="G169" s="249"/>
      <c r="H169" s="249"/>
      <c r="I169" s="249"/>
      <c r="J169" s="249"/>
      <c r="N169" s="245" t="s">
        <v>99</v>
      </c>
    </row>
    <row r="170" spans="1:14" x14ac:dyDescent="0.35">
      <c r="A170" s="249"/>
      <c r="B170" s="249"/>
      <c r="C170" s="249"/>
      <c r="D170" s="249"/>
      <c r="E170" s="249"/>
      <c r="F170" s="249"/>
      <c r="G170" s="249"/>
      <c r="H170" s="249"/>
      <c r="I170" s="249"/>
      <c r="J170" s="249"/>
      <c r="N170" s="245" t="s">
        <v>100</v>
      </c>
    </row>
    <row r="171" spans="1:14" x14ac:dyDescent="0.35">
      <c r="A171" s="249"/>
      <c r="B171" s="249"/>
      <c r="C171" s="249"/>
      <c r="D171" s="249"/>
      <c r="E171" s="249"/>
      <c r="F171" s="249"/>
      <c r="G171" s="249"/>
      <c r="H171" s="249"/>
      <c r="I171" s="249"/>
      <c r="J171" s="249"/>
      <c r="N171" s="245" t="s">
        <v>719</v>
      </c>
    </row>
    <row r="172" spans="1:14" x14ac:dyDescent="0.35">
      <c r="A172" s="249"/>
      <c r="B172" s="249"/>
      <c r="C172" s="249"/>
      <c r="D172" s="249"/>
      <c r="E172" s="249"/>
      <c r="F172" s="249"/>
      <c r="G172" s="249"/>
      <c r="H172" s="249"/>
      <c r="I172" s="249"/>
      <c r="J172" s="249"/>
      <c r="N172" s="245" t="s">
        <v>195</v>
      </c>
    </row>
    <row r="173" spans="1:14" x14ac:dyDescent="0.35">
      <c r="A173" s="249"/>
      <c r="B173" s="249"/>
      <c r="C173" s="249"/>
      <c r="D173" s="249"/>
      <c r="E173" s="249"/>
      <c r="F173" s="249"/>
      <c r="G173" s="249"/>
      <c r="H173" s="249"/>
      <c r="I173" s="249"/>
      <c r="J173" s="249"/>
      <c r="N173" s="245" t="s">
        <v>176</v>
      </c>
    </row>
    <row r="174" spans="1:14" x14ac:dyDescent="0.35">
      <c r="A174" s="249"/>
      <c r="B174" s="249"/>
      <c r="C174" s="249"/>
      <c r="D174" s="249"/>
      <c r="E174" s="249"/>
      <c r="F174" s="249"/>
      <c r="G174" s="249"/>
      <c r="H174" s="249"/>
      <c r="I174" s="249"/>
      <c r="J174" s="249"/>
      <c r="N174" s="245" t="s">
        <v>784</v>
      </c>
    </row>
    <row r="175" spans="1:14" x14ac:dyDescent="0.35">
      <c r="A175" s="249"/>
      <c r="B175" s="249"/>
      <c r="C175" s="249"/>
      <c r="D175" s="249"/>
      <c r="E175" s="249"/>
      <c r="F175" s="249"/>
      <c r="G175" s="249"/>
      <c r="H175" s="249"/>
      <c r="I175" s="249"/>
      <c r="J175" s="249"/>
      <c r="N175" s="245" t="s">
        <v>192</v>
      </c>
    </row>
    <row r="176" spans="1:14" x14ac:dyDescent="0.35">
      <c r="N176" s="245" t="s">
        <v>720</v>
      </c>
    </row>
    <row r="177" spans="14:14" x14ac:dyDescent="0.35">
      <c r="N177" s="245" t="s">
        <v>721</v>
      </c>
    </row>
    <row r="178" spans="14:14" x14ac:dyDescent="0.35">
      <c r="N178" s="245" t="s">
        <v>9</v>
      </c>
    </row>
    <row r="179" spans="14:14" x14ac:dyDescent="0.35">
      <c r="N179" s="245" t="s">
        <v>181</v>
      </c>
    </row>
    <row r="180" spans="14:14" x14ac:dyDescent="0.35">
      <c r="N180" s="245" t="s">
        <v>101</v>
      </c>
    </row>
    <row r="181" spans="14:14" x14ac:dyDescent="0.35">
      <c r="N181" s="245" t="s">
        <v>785</v>
      </c>
    </row>
    <row r="182" spans="14:14" x14ac:dyDescent="0.35">
      <c r="N182" s="245" t="s">
        <v>786</v>
      </c>
    </row>
    <row r="183" spans="14:14" x14ac:dyDescent="0.35">
      <c r="N183" s="245" t="s">
        <v>787</v>
      </c>
    </row>
    <row r="184" spans="14:14" x14ac:dyDescent="0.35">
      <c r="N184" s="245" t="s">
        <v>102</v>
      </c>
    </row>
    <row r="185" spans="14:14" x14ac:dyDescent="0.35">
      <c r="N185" s="245" t="s">
        <v>103</v>
      </c>
    </row>
    <row r="186" spans="14:14" x14ac:dyDescent="0.35">
      <c r="N186" s="245" t="s">
        <v>104</v>
      </c>
    </row>
    <row r="187" spans="14:14" x14ac:dyDescent="0.35">
      <c r="N187" s="245" t="s">
        <v>722</v>
      </c>
    </row>
    <row r="188" spans="14:14" x14ac:dyDescent="0.35">
      <c r="N188" s="245" t="s">
        <v>105</v>
      </c>
    </row>
    <row r="189" spans="14:14" x14ac:dyDescent="0.35">
      <c r="N189" s="245" t="s">
        <v>723</v>
      </c>
    </row>
    <row r="190" spans="14:14" x14ac:dyDescent="0.35">
      <c r="N190" s="245" t="s">
        <v>724</v>
      </c>
    </row>
    <row r="191" spans="14:14" x14ac:dyDescent="0.35">
      <c r="N191" s="245" t="s">
        <v>186</v>
      </c>
    </row>
    <row r="192" spans="14:14" x14ac:dyDescent="0.35">
      <c r="N192" s="245" t="s">
        <v>180</v>
      </c>
    </row>
    <row r="193" spans="14:14" x14ac:dyDescent="0.35">
      <c r="N193" s="245" t="s">
        <v>788</v>
      </c>
    </row>
    <row r="194" spans="14:14" x14ac:dyDescent="0.35">
      <c r="N194" s="245" t="s">
        <v>725</v>
      </c>
    </row>
    <row r="195" spans="14:14" x14ac:dyDescent="0.35">
      <c r="N195" s="245" t="s">
        <v>726</v>
      </c>
    </row>
    <row r="196" spans="14:14" x14ac:dyDescent="0.35">
      <c r="N196" s="245" t="s">
        <v>165</v>
      </c>
    </row>
    <row r="197" spans="14:14" x14ac:dyDescent="0.35">
      <c r="N197" s="245" t="s">
        <v>789</v>
      </c>
    </row>
    <row r="198" spans="14:14" x14ac:dyDescent="0.35">
      <c r="N198" s="245" t="s">
        <v>727</v>
      </c>
    </row>
    <row r="199" spans="14:14" x14ac:dyDescent="0.35">
      <c r="N199" s="245" t="s">
        <v>185</v>
      </c>
    </row>
    <row r="200" spans="14:14" x14ac:dyDescent="0.35">
      <c r="N200" s="245" t="s">
        <v>790</v>
      </c>
    </row>
    <row r="201" spans="14:14" ht="15" thickBot="1" x14ac:dyDescent="0.4">
      <c r="N201" s="246" t="s">
        <v>106</v>
      </c>
    </row>
  </sheetData>
  <sheetProtection algorithmName="SHA-256" hashValue="OXI/UddYUBsnI+iCl78/DeTXRac4fvfX/7FphvfxL3U=" saltValue="Qdp92/gFRmP4yd9K8o/yow==" spinCount="100000" sheet="1" objects="1" scenarios="1"/>
  <autoFilter ref="B1:I163" xr:uid="{00000000-0009-0000-0000-000002000000}"/>
  <sortState ref="N3:N163">
    <sortCondition ref="N3"/>
  </sortState>
  <conditionalFormatting sqref="N3:N201">
    <cfRule type="duplicateValues" dxfId="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77"/>
  <sheetViews>
    <sheetView topLeftCell="A85" zoomScale="86" zoomScaleNormal="86" workbookViewId="0">
      <selection activeCell="B172" sqref="B172"/>
    </sheetView>
  </sheetViews>
  <sheetFormatPr defaultRowHeight="14.5" x14ac:dyDescent="0.35"/>
  <cols>
    <col min="1" max="1" width="34.453125" style="106" customWidth="1"/>
    <col min="2" max="2" width="91.7265625" style="102" customWidth="1"/>
  </cols>
  <sheetData>
    <row r="2" spans="1:2" x14ac:dyDescent="0.35">
      <c r="B2" s="103"/>
    </row>
    <row r="3" spans="1:2" ht="20" thickBot="1" x14ac:dyDescent="0.4">
      <c r="A3" s="107"/>
      <c r="B3" s="107" t="s">
        <v>637</v>
      </c>
    </row>
    <row r="4" spans="1:2" ht="87.5" thickTop="1" x14ac:dyDescent="0.35">
      <c r="A4" s="106" t="s">
        <v>145</v>
      </c>
      <c r="B4" s="103" t="s">
        <v>750</v>
      </c>
    </row>
    <row r="5" spans="1:2" ht="87" x14ac:dyDescent="0.35">
      <c r="A5" s="106" t="s">
        <v>638</v>
      </c>
      <c r="B5" s="103" t="s">
        <v>730</v>
      </c>
    </row>
    <row r="11" spans="1:2" ht="20" thickBot="1" x14ac:dyDescent="0.4">
      <c r="A11" s="107"/>
      <c r="B11" s="107" t="s">
        <v>109</v>
      </c>
    </row>
    <row r="12" spans="1:2" ht="145.5" thickTop="1" x14ac:dyDescent="0.35">
      <c r="A12" s="106" t="s">
        <v>558</v>
      </c>
      <c r="B12" s="103" t="s">
        <v>749</v>
      </c>
    </row>
    <row r="13" spans="1:2" ht="58" x14ac:dyDescent="0.35">
      <c r="A13" s="106" t="s">
        <v>632</v>
      </c>
      <c r="B13" s="103" t="s">
        <v>732</v>
      </c>
    </row>
    <row r="14" spans="1:2" ht="43.5" x14ac:dyDescent="0.35">
      <c r="A14" s="106" t="s">
        <v>633</v>
      </c>
      <c r="B14" s="103" t="s">
        <v>639</v>
      </c>
    </row>
    <row r="15" spans="1:2" ht="43.5" x14ac:dyDescent="0.35">
      <c r="A15" s="106" t="s">
        <v>634</v>
      </c>
      <c r="B15" s="103" t="s">
        <v>640</v>
      </c>
    </row>
    <row r="16" spans="1:2" ht="43.5" x14ac:dyDescent="0.35">
      <c r="A16" s="106" t="s">
        <v>635</v>
      </c>
      <c r="B16" s="103" t="s">
        <v>641</v>
      </c>
    </row>
    <row r="17" spans="1:2" ht="43.5" x14ac:dyDescent="0.35">
      <c r="A17" s="106" t="s">
        <v>636</v>
      </c>
      <c r="B17" s="103" t="s">
        <v>642</v>
      </c>
    </row>
    <row r="18" spans="1:2" ht="159.5" x14ac:dyDescent="0.35">
      <c r="A18" s="106" t="s">
        <v>631</v>
      </c>
      <c r="B18" s="103" t="s">
        <v>733</v>
      </c>
    </row>
    <row r="19" spans="1:2" ht="174" x14ac:dyDescent="0.35">
      <c r="A19" s="106" t="s">
        <v>559</v>
      </c>
      <c r="B19" s="103" t="s">
        <v>643</v>
      </c>
    </row>
    <row r="20" spans="1:2" ht="72.5" x14ac:dyDescent="0.35">
      <c r="A20" s="106" t="s">
        <v>560</v>
      </c>
      <c r="B20" s="103" t="s">
        <v>734</v>
      </c>
    </row>
    <row r="21" spans="1:2" ht="58" x14ac:dyDescent="0.35">
      <c r="A21" s="106" t="s">
        <v>561</v>
      </c>
      <c r="B21" s="103" t="s">
        <v>644</v>
      </c>
    </row>
    <row r="22" spans="1:2" ht="72.5" x14ac:dyDescent="0.35">
      <c r="A22" s="106" t="s">
        <v>593</v>
      </c>
      <c r="B22" s="103" t="s">
        <v>594</v>
      </c>
    </row>
    <row r="23" spans="1:2" x14ac:dyDescent="0.35">
      <c r="B23" s="103"/>
    </row>
    <row r="24" spans="1:2" x14ac:dyDescent="0.35">
      <c r="B24" s="103" t="s">
        <v>595</v>
      </c>
    </row>
    <row r="25" spans="1:2" x14ac:dyDescent="0.35">
      <c r="B25" s="103"/>
    </row>
    <row r="26" spans="1:2" ht="20" thickBot="1" x14ac:dyDescent="0.4">
      <c r="A26" s="107" t="s">
        <v>143</v>
      </c>
      <c r="B26" s="107" t="s">
        <v>596</v>
      </c>
    </row>
    <row r="27" spans="1:2" ht="58.5" thickTop="1" x14ac:dyDescent="0.35">
      <c r="A27" s="106" t="s">
        <v>145</v>
      </c>
      <c r="B27" s="103" t="s">
        <v>735</v>
      </c>
    </row>
    <row r="28" spans="1:2" ht="72.5" x14ac:dyDescent="0.35">
      <c r="A28" s="106" t="s">
        <v>562</v>
      </c>
      <c r="B28" s="103" t="s">
        <v>563</v>
      </c>
    </row>
    <row r="29" spans="1:2" ht="58" x14ac:dyDescent="0.35">
      <c r="A29" s="106" t="s">
        <v>564</v>
      </c>
      <c r="B29" s="103" t="s">
        <v>565</v>
      </c>
    </row>
    <row r="30" spans="1:2" x14ac:dyDescent="0.35">
      <c r="B30" s="103"/>
    </row>
    <row r="31" spans="1:2" x14ac:dyDescent="0.35">
      <c r="B31" s="103" t="s">
        <v>597</v>
      </c>
    </row>
    <row r="34" spans="1:2" x14ac:dyDescent="0.35">
      <c r="B34" s="102" t="s">
        <v>613</v>
      </c>
    </row>
    <row r="36" spans="1:2" x14ac:dyDescent="0.35">
      <c r="B36" s="102" t="s">
        <v>556</v>
      </c>
    </row>
    <row r="38" spans="1:2" ht="20" thickBot="1" x14ac:dyDescent="0.4">
      <c r="A38" s="107" t="s">
        <v>144</v>
      </c>
      <c r="B38" s="108" t="s">
        <v>146</v>
      </c>
    </row>
    <row r="39" spans="1:2" ht="116.5" thickTop="1" x14ac:dyDescent="0.35">
      <c r="A39" s="106" t="s">
        <v>145</v>
      </c>
      <c r="B39" s="103" t="s">
        <v>736</v>
      </c>
    </row>
    <row r="40" spans="1:2" ht="101.5" x14ac:dyDescent="0.35">
      <c r="A40" s="106" t="s">
        <v>566</v>
      </c>
      <c r="B40" s="103" t="s">
        <v>751</v>
      </c>
    </row>
    <row r="41" spans="1:2" ht="72.5" x14ac:dyDescent="0.35">
      <c r="A41" s="106" t="s">
        <v>567</v>
      </c>
      <c r="B41" s="103" t="s">
        <v>568</v>
      </c>
    </row>
    <row r="42" spans="1:2" ht="130.5" x14ac:dyDescent="0.35">
      <c r="A42" s="106" t="s">
        <v>569</v>
      </c>
      <c r="B42" s="103" t="s">
        <v>737</v>
      </c>
    </row>
    <row r="43" spans="1:2" x14ac:dyDescent="0.35">
      <c r="B43" s="103"/>
    </row>
    <row r="44" spans="1:2" x14ac:dyDescent="0.35">
      <c r="B44" s="103" t="s">
        <v>598</v>
      </c>
    </row>
    <row r="46" spans="1:2" ht="15" thickBot="1" x14ac:dyDescent="0.4">
      <c r="A46" s="110" t="s">
        <v>147</v>
      </c>
      <c r="B46" s="111" t="s">
        <v>150</v>
      </c>
    </row>
    <row r="47" spans="1:2" x14ac:dyDescent="0.35">
      <c r="B47" t="s">
        <v>614</v>
      </c>
    </row>
    <row r="48" spans="1:2" x14ac:dyDescent="0.35">
      <c r="B48" t="s">
        <v>615</v>
      </c>
    </row>
    <row r="49" spans="2:2" x14ac:dyDescent="0.35">
      <c r="B49" t="s">
        <v>616</v>
      </c>
    </row>
    <row r="50" spans="2:2" x14ac:dyDescent="0.35">
      <c r="B50" t="s">
        <v>617</v>
      </c>
    </row>
    <row r="51" spans="2:2" x14ac:dyDescent="0.35">
      <c r="B51" t="s">
        <v>615</v>
      </c>
    </row>
    <row r="52" spans="2:2" x14ac:dyDescent="0.35">
      <c r="B52" t="s">
        <v>616</v>
      </c>
    </row>
    <row r="53" spans="2:2" x14ac:dyDescent="0.35">
      <c r="B53" t="s">
        <v>618</v>
      </c>
    </row>
    <row r="54" spans="2:2" x14ac:dyDescent="0.35">
      <c r="B54" t="s">
        <v>615</v>
      </c>
    </row>
    <row r="55" spans="2:2" x14ac:dyDescent="0.35">
      <c r="B55" t="s">
        <v>616</v>
      </c>
    </row>
    <row r="57" spans="2:2" x14ac:dyDescent="0.35">
      <c r="B57" s="102" t="s">
        <v>556</v>
      </c>
    </row>
    <row r="59" spans="2:2" x14ac:dyDescent="0.35">
      <c r="B59" s="102" t="s">
        <v>619</v>
      </c>
    </row>
    <row r="60" spans="2:2" x14ac:dyDescent="0.35">
      <c r="B60" s="102" t="s">
        <v>615</v>
      </c>
    </row>
    <row r="61" spans="2:2" x14ac:dyDescent="0.35">
      <c r="B61" s="102" t="s">
        <v>616</v>
      </c>
    </row>
    <row r="62" spans="2:2" x14ac:dyDescent="0.35">
      <c r="B62" s="102" t="s">
        <v>620</v>
      </c>
    </row>
    <row r="63" spans="2:2" x14ac:dyDescent="0.35">
      <c r="B63" s="102" t="s">
        <v>615</v>
      </c>
    </row>
    <row r="64" spans="2:2" x14ac:dyDescent="0.35">
      <c r="B64" s="102" t="s">
        <v>616</v>
      </c>
    </row>
    <row r="65" spans="1:2" x14ac:dyDescent="0.35">
      <c r="B65" s="102" t="s">
        <v>621</v>
      </c>
    </row>
    <row r="66" spans="1:2" x14ac:dyDescent="0.35">
      <c r="B66" s="102" t="s">
        <v>615</v>
      </c>
    </row>
    <row r="67" spans="1:2" x14ac:dyDescent="0.35">
      <c r="B67" s="102" t="s">
        <v>616</v>
      </c>
    </row>
    <row r="69" spans="1:2" x14ac:dyDescent="0.35">
      <c r="B69" s="102" t="s">
        <v>556</v>
      </c>
    </row>
    <row r="71" spans="1:2" ht="15" thickBot="1" x14ac:dyDescent="0.4">
      <c r="A71" s="110" t="s">
        <v>149</v>
      </c>
      <c r="B71" s="111" t="s">
        <v>148</v>
      </c>
    </row>
    <row r="72" spans="1:2" x14ac:dyDescent="0.35">
      <c r="B72" s="102" t="s">
        <v>622</v>
      </c>
    </row>
    <row r="73" spans="1:2" x14ac:dyDescent="0.35">
      <c r="B73" s="102" t="s">
        <v>615</v>
      </c>
    </row>
    <row r="74" spans="1:2" x14ac:dyDescent="0.35">
      <c r="B74" s="102" t="s">
        <v>616</v>
      </c>
    </row>
    <row r="75" spans="1:2" x14ac:dyDescent="0.35">
      <c r="B75" s="102" t="s">
        <v>623</v>
      </c>
    </row>
    <row r="76" spans="1:2" x14ac:dyDescent="0.35">
      <c r="B76" s="102" t="s">
        <v>615</v>
      </c>
    </row>
    <row r="77" spans="1:2" x14ac:dyDescent="0.35">
      <c r="B77" s="102" t="s">
        <v>616</v>
      </c>
    </row>
    <row r="78" spans="1:2" x14ac:dyDescent="0.35">
      <c r="B78" s="102" t="s">
        <v>624</v>
      </c>
    </row>
    <row r="79" spans="1:2" x14ac:dyDescent="0.35">
      <c r="B79" s="102" t="s">
        <v>615</v>
      </c>
    </row>
    <row r="80" spans="1:2" x14ac:dyDescent="0.35">
      <c r="B80" s="102" t="s">
        <v>616</v>
      </c>
    </row>
    <row r="82" spans="1:2" x14ac:dyDescent="0.35">
      <c r="B82" s="102" t="s">
        <v>556</v>
      </c>
    </row>
    <row r="84" spans="1:2" x14ac:dyDescent="0.35">
      <c r="B84" s="102" t="s">
        <v>653</v>
      </c>
    </row>
    <row r="85" spans="1:2" x14ac:dyDescent="0.35">
      <c r="B85" s="102" t="s">
        <v>615</v>
      </c>
    </row>
    <row r="86" spans="1:2" x14ac:dyDescent="0.35">
      <c r="B86" s="102" t="s">
        <v>616</v>
      </c>
    </row>
    <row r="87" spans="1:2" x14ac:dyDescent="0.35">
      <c r="B87" s="102" t="s">
        <v>654</v>
      </c>
    </row>
    <row r="88" spans="1:2" x14ac:dyDescent="0.35">
      <c r="B88" s="102" t="s">
        <v>615</v>
      </c>
    </row>
    <row r="89" spans="1:2" x14ac:dyDescent="0.35">
      <c r="B89" s="102" t="s">
        <v>616</v>
      </c>
    </row>
    <row r="90" spans="1:2" x14ac:dyDescent="0.35">
      <c r="B90" s="102" t="s">
        <v>655</v>
      </c>
    </row>
    <row r="91" spans="1:2" x14ac:dyDescent="0.35">
      <c r="B91" s="102" t="s">
        <v>615</v>
      </c>
    </row>
    <row r="92" spans="1:2" x14ac:dyDescent="0.35">
      <c r="B92" s="102" t="s">
        <v>616</v>
      </c>
    </row>
    <row r="94" spans="1:2" x14ac:dyDescent="0.35">
      <c r="B94" s="102" t="s">
        <v>556</v>
      </c>
    </row>
    <row r="96" spans="1:2" ht="20" thickBot="1" x14ac:dyDescent="0.4">
      <c r="A96" s="107"/>
      <c r="B96" s="108" t="s">
        <v>570</v>
      </c>
    </row>
    <row r="97" spans="1:2" ht="44" thickTop="1" x14ac:dyDescent="0.35">
      <c r="A97" s="106" t="s">
        <v>145</v>
      </c>
      <c r="B97" s="103" t="s">
        <v>645</v>
      </c>
    </row>
    <row r="98" spans="1:2" ht="87" x14ac:dyDescent="0.35">
      <c r="A98" s="106" t="s">
        <v>571</v>
      </c>
      <c r="B98" s="103" t="s">
        <v>728</v>
      </c>
    </row>
    <row r="99" spans="1:2" ht="58" x14ac:dyDescent="0.35">
      <c r="A99" s="106" t="s">
        <v>572</v>
      </c>
      <c r="B99" s="103" t="s">
        <v>573</v>
      </c>
    </row>
    <row r="101" spans="1:2" x14ac:dyDescent="0.35">
      <c r="B101" s="103" t="s">
        <v>599</v>
      </c>
    </row>
    <row r="104" spans="1:2" x14ac:dyDescent="0.35">
      <c r="B104" s="102" t="s">
        <v>625</v>
      </c>
    </row>
    <row r="106" spans="1:2" x14ac:dyDescent="0.35">
      <c r="B106" s="102" t="s">
        <v>556</v>
      </c>
    </row>
    <row r="108" spans="1:2" ht="20" thickBot="1" x14ac:dyDescent="0.4">
      <c r="A108" s="107"/>
      <c r="B108" s="108" t="s">
        <v>574</v>
      </c>
    </row>
    <row r="109" spans="1:2" ht="131" thickTop="1" x14ac:dyDescent="0.35">
      <c r="A109" s="106" t="s">
        <v>145</v>
      </c>
      <c r="B109" s="103" t="s">
        <v>646</v>
      </c>
    </row>
    <row r="110" spans="1:2" ht="159.5" x14ac:dyDescent="0.35">
      <c r="A110" s="106" t="s">
        <v>575</v>
      </c>
      <c r="B110" s="103" t="s">
        <v>738</v>
      </c>
    </row>
    <row r="111" spans="1:2" ht="58" x14ac:dyDescent="0.35">
      <c r="A111" s="106" t="s">
        <v>576</v>
      </c>
      <c r="B111" s="103" t="s">
        <v>577</v>
      </c>
    </row>
    <row r="113" spans="1:2" x14ac:dyDescent="0.35">
      <c r="B113" s="103" t="s">
        <v>600</v>
      </c>
    </row>
    <row r="115" spans="1:2" x14ac:dyDescent="0.35">
      <c r="A115"/>
      <c r="B115"/>
    </row>
    <row r="116" spans="1:2" x14ac:dyDescent="0.35">
      <c r="B116" s="102" t="s">
        <v>117</v>
      </c>
    </row>
    <row r="117" spans="1:2" x14ac:dyDescent="0.35">
      <c r="B117" s="102" t="s">
        <v>656</v>
      </c>
    </row>
    <row r="118" spans="1:2" x14ac:dyDescent="0.35">
      <c r="B118" s="102" t="s">
        <v>626</v>
      </c>
    </row>
    <row r="119" spans="1:2" x14ac:dyDescent="0.35">
      <c r="B119" s="103" t="s">
        <v>740</v>
      </c>
    </row>
    <row r="120" spans="1:2" x14ac:dyDescent="0.35">
      <c r="B120" s="102" t="s">
        <v>647</v>
      </c>
    </row>
    <row r="121" spans="1:2" ht="29" x14ac:dyDescent="0.35">
      <c r="B121" s="103" t="s">
        <v>741</v>
      </c>
    </row>
    <row r="123" spans="1:2" x14ac:dyDescent="0.35">
      <c r="B123" s="102" t="s">
        <v>556</v>
      </c>
    </row>
    <row r="125" spans="1:2" x14ac:dyDescent="0.35">
      <c r="B125" s="102" t="s">
        <v>627</v>
      </c>
    </row>
    <row r="126" spans="1:2" x14ac:dyDescent="0.35">
      <c r="B126" s="102" t="s">
        <v>739</v>
      </c>
    </row>
    <row r="127" spans="1:2" x14ac:dyDescent="0.35">
      <c r="B127" s="102" t="s">
        <v>628</v>
      </c>
    </row>
    <row r="128" spans="1:2" x14ac:dyDescent="0.35">
      <c r="B128" s="102" t="s">
        <v>112</v>
      </c>
    </row>
    <row r="129" spans="1:2" x14ac:dyDescent="0.35">
      <c r="B129" s="102" t="s">
        <v>110</v>
      </c>
    </row>
    <row r="131" spans="1:2" x14ac:dyDescent="0.35">
      <c r="B131" s="102" t="s">
        <v>556</v>
      </c>
    </row>
    <row r="133" spans="1:2" ht="20" thickBot="1" x14ac:dyDescent="0.4">
      <c r="A133" s="107"/>
      <c r="B133" s="108" t="s">
        <v>578</v>
      </c>
    </row>
    <row r="134" spans="1:2" ht="160" thickTop="1" x14ac:dyDescent="0.35">
      <c r="A134" s="106" t="s">
        <v>145</v>
      </c>
      <c r="B134" s="103" t="s">
        <v>729</v>
      </c>
    </row>
    <row r="135" spans="1:2" ht="87" x14ac:dyDescent="0.35">
      <c r="A135" s="106" t="s">
        <v>579</v>
      </c>
      <c r="B135" s="103" t="s">
        <v>580</v>
      </c>
    </row>
    <row r="136" spans="1:2" ht="72.5" x14ac:dyDescent="0.35">
      <c r="A136" s="106" t="s">
        <v>581</v>
      </c>
      <c r="B136" s="103" t="s">
        <v>648</v>
      </c>
    </row>
    <row r="137" spans="1:2" ht="72.5" x14ac:dyDescent="0.35">
      <c r="A137" s="106" t="s">
        <v>582</v>
      </c>
      <c r="B137" s="103" t="s">
        <v>649</v>
      </c>
    </row>
    <row r="138" spans="1:2" ht="58" x14ac:dyDescent="0.35">
      <c r="A138" s="106" t="s">
        <v>583</v>
      </c>
      <c r="B138" s="103" t="s">
        <v>742</v>
      </c>
    </row>
    <row r="139" spans="1:2" ht="275.5" x14ac:dyDescent="0.35">
      <c r="A139" s="106" t="s">
        <v>604</v>
      </c>
      <c r="B139" s="103" t="s">
        <v>743</v>
      </c>
    </row>
    <row r="141" spans="1:2" x14ac:dyDescent="0.35">
      <c r="B141" s="103" t="s">
        <v>603</v>
      </c>
    </row>
    <row r="142" spans="1:2" x14ac:dyDescent="0.35">
      <c r="B142" s="103"/>
    </row>
    <row r="143" spans="1:2" ht="15" thickBot="1" x14ac:dyDescent="0.4">
      <c r="A143" s="110" t="s">
        <v>159</v>
      </c>
      <c r="B143" s="110" t="s">
        <v>160</v>
      </c>
    </row>
    <row r="144" spans="1:2" x14ac:dyDescent="0.35">
      <c r="B144" s="103" t="s">
        <v>629</v>
      </c>
    </row>
    <row r="145" spans="1:2" x14ac:dyDescent="0.35">
      <c r="B145" s="103" t="s">
        <v>630</v>
      </c>
    </row>
    <row r="146" spans="1:2" x14ac:dyDescent="0.35">
      <c r="B146" s="103" t="s">
        <v>15</v>
      </c>
    </row>
    <row r="147" spans="1:2" x14ac:dyDescent="0.35">
      <c r="B147" s="103" t="s">
        <v>630</v>
      </c>
    </row>
    <row r="148" spans="1:2" x14ac:dyDescent="0.35">
      <c r="B148" s="103" t="s">
        <v>16</v>
      </c>
    </row>
    <row r="149" spans="1:2" x14ac:dyDescent="0.35">
      <c r="B149" s="103" t="s">
        <v>630</v>
      </c>
    </row>
    <row r="150" spans="1:2" x14ac:dyDescent="0.35">
      <c r="B150" s="103"/>
    </row>
    <row r="151" spans="1:2" x14ac:dyDescent="0.35">
      <c r="B151" s="103" t="s">
        <v>556</v>
      </c>
    </row>
    <row r="152" spans="1:2" x14ac:dyDescent="0.35">
      <c r="B152" s="103"/>
    </row>
    <row r="153" spans="1:2" ht="15" thickBot="1" x14ac:dyDescent="0.4">
      <c r="A153" s="110" t="s">
        <v>162</v>
      </c>
      <c r="B153" s="110" t="s">
        <v>161</v>
      </c>
    </row>
    <row r="154" spans="1:2" x14ac:dyDescent="0.35">
      <c r="B154" s="103" t="s">
        <v>11</v>
      </c>
    </row>
    <row r="155" spans="1:2" x14ac:dyDescent="0.35">
      <c r="B155" s="103" t="s">
        <v>630</v>
      </c>
    </row>
    <row r="156" spans="1:2" x14ac:dyDescent="0.35">
      <c r="B156" s="103"/>
    </row>
    <row r="157" spans="1:2" x14ac:dyDescent="0.35">
      <c r="B157" s="103" t="s">
        <v>556</v>
      </c>
    </row>
    <row r="158" spans="1:2" x14ac:dyDescent="0.35">
      <c r="B158" s="103"/>
    </row>
    <row r="159" spans="1:2" ht="15" thickBot="1" x14ac:dyDescent="0.4">
      <c r="A159" s="110" t="s">
        <v>164</v>
      </c>
      <c r="B159" s="110" t="s">
        <v>163</v>
      </c>
    </row>
    <row r="160" spans="1:2" x14ac:dyDescent="0.35">
      <c r="B160" s="103" t="s">
        <v>1</v>
      </c>
    </row>
    <row r="161" spans="1:2" x14ac:dyDescent="0.35">
      <c r="B161" s="103" t="s">
        <v>630</v>
      </c>
    </row>
    <row r="162" spans="1:2" x14ac:dyDescent="0.35">
      <c r="B162" s="103"/>
    </row>
    <row r="163" spans="1:2" x14ac:dyDescent="0.35">
      <c r="B163" s="103" t="s">
        <v>652</v>
      </c>
    </row>
    <row r="164" spans="1:2" x14ac:dyDescent="0.35">
      <c r="B164" s="103"/>
    </row>
    <row r="166" spans="1:2" ht="20" thickBot="1" x14ac:dyDescent="0.4">
      <c r="A166" s="107"/>
      <c r="B166" s="108" t="s">
        <v>491</v>
      </c>
    </row>
    <row r="167" spans="1:2" ht="58.5" thickTop="1" x14ac:dyDescent="0.35">
      <c r="B167" s="103" t="s">
        <v>650</v>
      </c>
    </row>
    <row r="168" spans="1:2" ht="20" thickBot="1" x14ac:dyDescent="0.5">
      <c r="A168" s="107"/>
      <c r="B168" s="109" t="s">
        <v>584</v>
      </c>
    </row>
    <row r="169" spans="1:2" ht="58.5" thickTop="1" x14ac:dyDescent="0.35">
      <c r="A169" s="106" t="s">
        <v>145</v>
      </c>
      <c r="B169" s="103" t="s">
        <v>744</v>
      </c>
    </row>
    <row r="170" spans="1:2" ht="87" x14ac:dyDescent="0.35">
      <c r="A170" s="106" t="s">
        <v>585</v>
      </c>
      <c r="B170" s="103" t="s">
        <v>651</v>
      </c>
    </row>
    <row r="171" spans="1:2" ht="72.5" x14ac:dyDescent="0.35">
      <c r="A171" s="106" t="s">
        <v>586</v>
      </c>
      <c r="B171" s="103" t="s">
        <v>825</v>
      </c>
    </row>
    <row r="172" spans="1:2" ht="72.5" x14ac:dyDescent="0.35">
      <c r="A172" s="106" t="s">
        <v>587</v>
      </c>
      <c r="B172" s="103" t="s">
        <v>745</v>
      </c>
    </row>
    <row r="173" spans="1:2" ht="72.5" x14ac:dyDescent="0.35">
      <c r="A173" s="106" t="s">
        <v>588</v>
      </c>
      <c r="B173" s="103" t="s">
        <v>746</v>
      </c>
    </row>
    <row r="174" spans="1:2" ht="20" thickBot="1" x14ac:dyDescent="0.4">
      <c r="A174" s="107"/>
      <c r="B174" s="108" t="s">
        <v>589</v>
      </c>
    </row>
    <row r="175" spans="1:2" ht="160" thickTop="1" x14ac:dyDescent="0.35">
      <c r="A175" s="106" t="s">
        <v>590</v>
      </c>
      <c r="B175" s="103" t="s">
        <v>747</v>
      </c>
    </row>
    <row r="176" spans="1:2" ht="20" thickBot="1" x14ac:dyDescent="0.4">
      <c r="A176" s="107"/>
      <c r="B176" s="108" t="s">
        <v>591</v>
      </c>
    </row>
    <row r="177" spans="2:2" ht="174.5" thickTop="1" x14ac:dyDescent="0.35">
      <c r="B177" s="103" t="s">
        <v>748</v>
      </c>
    </row>
  </sheetData>
  <sheetProtection algorithmName="SHA-256" hashValue="t9bQwT84Rc+fycw1ayaVEhFCFbBDm6cQVRIaIL3Snj8=" saltValue="0scUG0gBCsFmtpxKwyoUd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315"/>
  <sheetViews>
    <sheetView zoomScale="85" zoomScaleNormal="115" workbookViewId="0">
      <selection activeCell="C69" sqref="C69"/>
    </sheetView>
  </sheetViews>
  <sheetFormatPr defaultColWidth="9.1796875" defaultRowHeight="14.5" zeroHeight="1" x14ac:dyDescent="0.35"/>
  <cols>
    <col min="1" max="1" width="9.1796875" style="1"/>
    <col min="2" max="2" width="94" style="1" bestFit="1" customWidth="1"/>
    <col min="3" max="3" width="27.26953125" style="1" customWidth="1"/>
    <col min="5" max="5" width="34.81640625" customWidth="1"/>
  </cols>
  <sheetData>
    <row r="1" spans="1:10" ht="16" thickBot="1" x14ac:dyDescent="0.4">
      <c r="A1" s="6"/>
      <c r="B1" s="264" t="s">
        <v>731</v>
      </c>
      <c r="C1" s="264"/>
      <c r="D1" s="12"/>
    </row>
    <row r="2" spans="1:10" ht="15.5" x14ac:dyDescent="0.35">
      <c r="A2" s="7"/>
      <c r="B2" s="265" t="str">
        <f>Summary!C60</f>
        <v>Australian Criminal Intelligence Commission</v>
      </c>
      <c r="C2" s="266"/>
      <c r="D2" s="13"/>
    </row>
    <row r="3" spans="1:10" ht="16" thickBot="1" x14ac:dyDescent="0.4">
      <c r="A3" s="7"/>
      <c r="B3" s="267" t="str">
        <f>Summary!C61</f>
        <v>11 259 448 410</v>
      </c>
      <c r="C3" s="268"/>
      <c r="D3" s="13"/>
    </row>
    <row r="4" spans="1:10" ht="15.75" customHeight="1" thickBot="1" x14ac:dyDescent="0.4">
      <c r="A4" s="8"/>
      <c r="B4" s="63"/>
      <c r="C4" s="63"/>
      <c r="D4" s="14"/>
    </row>
    <row r="5" spans="1:10" s="16" customFormat="1" ht="6.75" customHeight="1" thickBot="1" x14ac:dyDescent="0.4">
      <c r="A5" s="3"/>
      <c r="B5" s="66"/>
      <c r="C5" s="66"/>
      <c r="D5" s="3"/>
      <c r="E5" s="64"/>
    </row>
    <row r="6" spans="1:10" ht="15.75" customHeight="1" thickBot="1" x14ac:dyDescent="0.4">
      <c r="A6" s="6"/>
      <c r="B6" s="263" t="s">
        <v>109</v>
      </c>
      <c r="C6" s="263"/>
      <c r="D6" s="9"/>
    </row>
    <row r="7" spans="1:10" ht="344.25" customHeight="1" thickBot="1" x14ac:dyDescent="0.4">
      <c r="A7" s="7"/>
      <c r="B7" s="271" t="s">
        <v>130</v>
      </c>
      <c r="C7" s="272"/>
      <c r="D7" s="10"/>
      <c r="E7" s="65"/>
      <c r="F7" s="16"/>
      <c r="G7" s="16"/>
      <c r="H7" s="16"/>
      <c r="I7" s="16"/>
      <c r="J7" s="16"/>
    </row>
    <row r="8" spans="1:10" s="16" customFormat="1" ht="15.75" customHeight="1" thickBot="1" x14ac:dyDescent="0.4">
      <c r="A8" s="8"/>
      <c r="B8" s="15"/>
      <c r="C8" s="15"/>
      <c r="D8" s="11"/>
      <c r="E8" s="65"/>
    </row>
    <row r="9" spans="1:10" s="16" customFormat="1" ht="6.75" customHeight="1" thickBot="1" x14ac:dyDescent="0.4">
      <c r="A9" s="3"/>
      <c r="B9" s="66"/>
      <c r="C9" s="66"/>
      <c r="D9" s="3"/>
      <c r="E9" s="64"/>
    </row>
    <row r="10" spans="1:10" ht="15" thickBot="1" x14ac:dyDescent="0.4">
      <c r="A10" s="6"/>
      <c r="B10" s="270" t="s">
        <v>41</v>
      </c>
      <c r="C10" s="270"/>
      <c r="D10" s="12"/>
    </row>
    <row r="11" spans="1:10" x14ac:dyDescent="0.35">
      <c r="A11" s="7"/>
      <c r="B11" s="17" t="s">
        <v>12</v>
      </c>
      <c r="C11" s="18">
        <f>C12+C13</f>
        <v>7257778</v>
      </c>
      <c r="D11" s="13"/>
    </row>
    <row r="12" spans="1:10" x14ac:dyDescent="0.35">
      <c r="A12" s="7"/>
      <c r="B12" s="19" t="s">
        <v>13</v>
      </c>
      <c r="C12" s="20">
        <f>Summary!$C$66</f>
        <v>5644130</v>
      </c>
      <c r="D12" s="13"/>
    </row>
    <row r="13" spans="1:10" ht="15" thickBot="1" x14ac:dyDescent="0.4">
      <c r="A13" s="7"/>
      <c r="B13" s="21" t="s">
        <v>42</v>
      </c>
      <c r="C13" s="22">
        <f>C76</f>
        <v>1613648</v>
      </c>
      <c r="D13" s="13"/>
    </row>
    <row r="14" spans="1:10" ht="15" thickBot="1" x14ac:dyDescent="0.4">
      <c r="A14" s="8"/>
      <c r="B14" s="24"/>
      <c r="C14" s="23"/>
      <c r="D14" s="14"/>
    </row>
    <row r="15" spans="1:10" ht="6.75" customHeight="1" thickBot="1" x14ac:dyDescent="0.4">
      <c r="B15" s="25"/>
      <c r="C15" s="26"/>
    </row>
    <row r="16" spans="1:10" ht="15" thickBot="1" x14ac:dyDescent="0.4">
      <c r="A16" s="6"/>
      <c r="B16" s="275" t="s">
        <v>45</v>
      </c>
      <c r="C16" s="275"/>
      <c r="D16" s="12"/>
    </row>
    <row r="17" spans="1:5" ht="48.75" customHeight="1" x14ac:dyDescent="0.35">
      <c r="A17" s="7"/>
      <c r="B17" s="273" t="s">
        <v>752</v>
      </c>
      <c r="C17" s="274"/>
      <c r="D17" s="13"/>
    </row>
    <row r="18" spans="1:5" ht="15" thickBot="1" x14ac:dyDescent="0.4">
      <c r="A18" s="7"/>
      <c r="B18" s="36" t="s">
        <v>44</v>
      </c>
      <c r="C18" s="40"/>
      <c r="D18" s="13"/>
    </row>
    <row r="19" spans="1:5" x14ac:dyDescent="0.35">
      <c r="A19" s="7"/>
      <c r="B19" s="27" t="s">
        <v>18</v>
      </c>
      <c r="C19" s="59">
        <f>Summary!$C$97</f>
        <v>1</v>
      </c>
      <c r="D19" s="13"/>
    </row>
    <row r="20" spans="1:5" x14ac:dyDescent="0.35">
      <c r="A20" s="7"/>
      <c r="B20" s="27" t="s">
        <v>20</v>
      </c>
      <c r="C20" s="59">
        <f>Summary!$C$99</f>
        <v>10</v>
      </c>
      <c r="D20" s="13"/>
    </row>
    <row r="21" spans="1:5" x14ac:dyDescent="0.35">
      <c r="A21" s="7"/>
      <c r="B21" s="32" t="s">
        <v>49</v>
      </c>
      <c r="C21" s="59">
        <f>Summary!$C$101</f>
        <v>0</v>
      </c>
      <c r="D21" s="10"/>
      <c r="E21" s="1"/>
    </row>
    <row r="22" spans="1:5" x14ac:dyDescent="0.35">
      <c r="A22" s="7"/>
      <c r="B22" s="27" t="s">
        <v>19</v>
      </c>
      <c r="C22" s="60">
        <f>Summary!$C$104</f>
        <v>5</v>
      </c>
      <c r="D22" s="10"/>
      <c r="E22" s="1"/>
    </row>
    <row r="23" spans="1:5" x14ac:dyDescent="0.35">
      <c r="A23" s="7"/>
      <c r="B23" s="27" t="s">
        <v>21</v>
      </c>
      <c r="C23" s="60">
        <f>Summary!$C$106</f>
        <v>4</v>
      </c>
      <c r="D23" s="10"/>
      <c r="E23" s="1"/>
    </row>
    <row r="24" spans="1:5" x14ac:dyDescent="0.35">
      <c r="A24" s="7"/>
      <c r="B24" s="27" t="s">
        <v>50</v>
      </c>
      <c r="C24" s="60">
        <f>Summary!$C$108</f>
        <v>0</v>
      </c>
      <c r="D24" s="10"/>
      <c r="E24" s="1"/>
    </row>
    <row r="25" spans="1:5" ht="15" thickBot="1" x14ac:dyDescent="0.4">
      <c r="A25" s="7"/>
      <c r="B25" s="41" t="s">
        <v>43</v>
      </c>
      <c r="C25" s="42"/>
      <c r="D25" s="10"/>
      <c r="E25" s="1"/>
    </row>
    <row r="26" spans="1:5" x14ac:dyDescent="0.35">
      <c r="A26" s="7"/>
      <c r="B26" s="28" t="s">
        <v>22</v>
      </c>
      <c r="C26" s="29">
        <f>Summary!$C$98</f>
        <v>1312</v>
      </c>
      <c r="D26" s="10"/>
      <c r="E26" s="1"/>
    </row>
    <row r="27" spans="1:5" x14ac:dyDescent="0.35">
      <c r="A27" s="7"/>
      <c r="B27" s="28" t="s">
        <v>24</v>
      </c>
      <c r="C27" s="29">
        <f>Summary!$C$100</f>
        <v>185779</v>
      </c>
      <c r="D27" s="10"/>
      <c r="E27" s="1"/>
    </row>
    <row r="28" spans="1:5" x14ac:dyDescent="0.35">
      <c r="A28" s="7"/>
      <c r="B28" s="33" t="s">
        <v>51</v>
      </c>
      <c r="C28" s="29">
        <f>Summary!$C$102</f>
        <v>0</v>
      </c>
      <c r="D28" s="10"/>
      <c r="E28" s="1"/>
    </row>
    <row r="29" spans="1:5" x14ac:dyDescent="0.35">
      <c r="A29" s="7"/>
      <c r="B29" s="28" t="s">
        <v>23</v>
      </c>
      <c r="C29" s="30">
        <f>Summary!$C$105</f>
        <v>59412</v>
      </c>
      <c r="D29" s="10"/>
      <c r="E29" s="1"/>
    </row>
    <row r="30" spans="1:5" x14ac:dyDescent="0.35">
      <c r="A30" s="7"/>
      <c r="B30" s="28" t="s">
        <v>25</v>
      </c>
      <c r="C30" s="30">
        <f>Summary!$C$107</f>
        <v>66098</v>
      </c>
      <c r="D30" s="10"/>
      <c r="E30" s="1"/>
    </row>
    <row r="31" spans="1:5" ht="15" thickBot="1" x14ac:dyDescent="0.4">
      <c r="A31" s="7"/>
      <c r="B31" s="31" t="s">
        <v>52</v>
      </c>
      <c r="C31" s="30">
        <f>Summary!$C$109</f>
        <v>0</v>
      </c>
      <c r="D31" s="10"/>
      <c r="E31" s="1"/>
    </row>
    <row r="32" spans="1:5" ht="6.75" customHeight="1" x14ac:dyDescent="0.35">
      <c r="A32" s="7"/>
      <c r="B32" s="61"/>
      <c r="C32" s="62"/>
      <c r="D32" s="10"/>
      <c r="E32" s="1"/>
    </row>
    <row r="33" spans="1:5" ht="15" thickBot="1" x14ac:dyDescent="0.4">
      <c r="A33" s="7"/>
      <c r="B33" s="276" t="s">
        <v>46</v>
      </c>
      <c r="C33" s="276"/>
      <c r="D33" s="10"/>
      <c r="E33" s="1"/>
    </row>
    <row r="34" spans="1:5" ht="15" thickBot="1" x14ac:dyDescent="0.4">
      <c r="A34" s="7"/>
      <c r="B34" s="43" t="s">
        <v>44</v>
      </c>
      <c r="C34" s="44"/>
      <c r="D34" s="10"/>
      <c r="E34" s="1"/>
    </row>
    <row r="35" spans="1:5" x14ac:dyDescent="0.35">
      <c r="A35" s="7"/>
      <c r="B35" s="27" t="s">
        <v>26</v>
      </c>
      <c r="C35" s="59">
        <f>Summary!$C$79</f>
        <v>7</v>
      </c>
      <c r="D35" s="10"/>
      <c r="E35" s="1"/>
    </row>
    <row r="36" spans="1:5" x14ac:dyDescent="0.35">
      <c r="A36" s="7"/>
      <c r="B36" s="27" t="s">
        <v>28</v>
      </c>
      <c r="C36" s="59">
        <f>Summary!$C$81</f>
        <v>2</v>
      </c>
      <c r="D36" s="10"/>
      <c r="E36" s="1"/>
    </row>
    <row r="37" spans="1:5" x14ac:dyDescent="0.35">
      <c r="A37" s="7"/>
      <c r="B37" s="32" t="s">
        <v>53</v>
      </c>
      <c r="C37" s="59">
        <f>Summary!$C$83</f>
        <v>0</v>
      </c>
      <c r="D37" s="10"/>
      <c r="E37" s="1"/>
    </row>
    <row r="38" spans="1:5" x14ac:dyDescent="0.35">
      <c r="A38" s="7"/>
      <c r="B38" s="27" t="s">
        <v>27</v>
      </c>
      <c r="C38" s="60">
        <f>Summary!$C$86</f>
        <v>5</v>
      </c>
      <c r="D38" s="10"/>
      <c r="E38" s="1"/>
    </row>
    <row r="39" spans="1:5" x14ac:dyDescent="0.35">
      <c r="A39" s="7"/>
      <c r="B39" s="27" t="s">
        <v>29</v>
      </c>
      <c r="C39" s="60">
        <f>Summary!$C$88</f>
        <v>7</v>
      </c>
      <c r="D39" s="10"/>
      <c r="E39" s="1"/>
    </row>
    <row r="40" spans="1:5" x14ac:dyDescent="0.35">
      <c r="A40" s="7"/>
      <c r="B40" s="32" t="s">
        <v>54</v>
      </c>
      <c r="C40" s="60">
        <f>Summary!$C$90</f>
        <v>0</v>
      </c>
      <c r="D40" s="10"/>
      <c r="E40" s="1"/>
    </row>
    <row r="41" spans="1:5" ht="15" thickBot="1" x14ac:dyDescent="0.4">
      <c r="A41" s="7"/>
      <c r="B41" s="45" t="s">
        <v>43</v>
      </c>
      <c r="C41" s="42"/>
      <c r="D41" s="10"/>
      <c r="E41" s="1"/>
    </row>
    <row r="42" spans="1:5" x14ac:dyDescent="0.35">
      <c r="A42" s="7"/>
      <c r="B42" s="27" t="s">
        <v>30</v>
      </c>
      <c r="C42" s="29">
        <f>Summary!$C$80</f>
        <v>6716</v>
      </c>
      <c r="D42" s="10"/>
      <c r="E42" s="1"/>
    </row>
    <row r="43" spans="1:5" x14ac:dyDescent="0.35">
      <c r="A43" s="7"/>
      <c r="B43" s="27" t="s">
        <v>32</v>
      </c>
      <c r="C43" s="29">
        <f>Summary!$C$82</f>
        <v>6745</v>
      </c>
      <c r="D43" s="10"/>
      <c r="E43" s="1"/>
    </row>
    <row r="44" spans="1:5" x14ac:dyDescent="0.35">
      <c r="A44" s="7"/>
      <c r="B44" s="27" t="s">
        <v>55</v>
      </c>
      <c r="C44" s="29">
        <f>Summary!$C$84</f>
        <v>0</v>
      </c>
      <c r="D44" s="10"/>
      <c r="E44" s="1"/>
    </row>
    <row r="45" spans="1:5" x14ac:dyDescent="0.35">
      <c r="A45" s="7"/>
      <c r="B45" s="27" t="s">
        <v>31</v>
      </c>
      <c r="C45" s="30">
        <f>Summary!$C$87</f>
        <v>65213</v>
      </c>
      <c r="D45" s="10"/>
      <c r="E45" s="1"/>
    </row>
    <row r="46" spans="1:5" x14ac:dyDescent="0.35">
      <c r="A46" s="7"/>
      <c r="B46" s="27" t="s">
        <v>33</v>
      </c>
      <c r="C46" s="30">
        <f>Summary!$C$89</f>
        <v>69587</v>
      </c>
      <c r="D46" s="10"/>
      <c r="E46" s="1"/>
    </row>
    <row r="47" spans="1:5" x14ac:dyDescent="0.35">
      <c r="A47" s="7"/>
      <c r="B47" s="27" t="s">
        <v>56</v>
      </c>
      <c r="C47" s="30">
        <f>Summary!$C$91</f>
        <v>0</v>
      </c>
      <c r="D47" s="10"/>
      <c r="E47" s="1"/>
    </row>
    <row r="48" spans="1:5" ht="15" thickBot="1" x14ac:dyDescent="0.4">
      <c r="A48" s="7"/>
      <c r="B48" s="39" t="s">
        <v>38</v>
      </c>
      <c r="C48" s="22">
        <f>SUM(C26:C31,C42:C47)</f>
        <v>460862</v>
      </c>
      <c r="D48" s="10"/>
      <c r="E48" s="1"/>
    </row>
    <row r="49" spans="1:10" ht="15" thickBot="1" x14ac:dyDescent="0.4">
      <c r="A49" s="8"/>
      <c r="B49" s="37"/>
      <c r="C49" s="38"/>
      <c r="D49" s="11"/>
      <c r="E49" s="1"/>
    </row>
    <row r="50" spans="1:10" ht="6.75" customHeight="1" thickBot="1" x14ac:dyDescent="0.4">
      <c r="B50" s="46"/>
      <c r="C50" s="47"/>
      <c r="D50" s="1"/>
      <c r="E50" s="1"/>
    </row>
    <row r="51" spans="1:10" ht="15" thickBot="1" x14ac:dyDescent="0.4">
      <c r="A51" s="6"/>
      <c r="B51" s="275" t="s">
        <v>47</v>
      </c>
      <c r="C51" s="275"/>
      <c r="D51" s="9"/>
      <c r="E51" s="1"/>
    </row>
    <row r="52" spans="1:10" ht="15" thickBot="1" x14ac:dyDescent="0.4">
      <c r="A52" s="7"/>
      <c r="B52" s="49" t="s">
        <v>48</v>
      </c>
      <c r="C52" s="58">
        <f>Summary!$C$116</f>
        <v>29069</v>
      </c>
      <c r="D52" s="10"/>
      <c r="E52" s="1"/>
    </row>
    <row r="53" spans="1:10" ht="15" thickBot="1" x14ac:dyDescent="0.4">
      <c r="A53" s="8"/>
      <c r="B53" s="48"/>
      <c r="C53" s="23"/>
      <c r="D53" s="11"/>
      <c r="E53" s="1"/>
    </row>
    <row r="54" spans="1:10" ht="6.75" customHeight="1" thickBot="1" x14ac:dyDescent="0.4">
      <c r="B54" s="35"/>
      <c r="C54" s="34"/>
      <c r="D54" s="1"/>
      <c r="E54" s="1"/>
    </row>
    <row r="55" spans="1:10" ht="15" thickBot="1" x14ac:dyDescent="0.4">
      <c r="A55" s="6"/>
      <c r="B55" s="258" t="s">
        <v>120</v>
      </c>
      <c r="C55" s="258"/>
      <c r="D55" s="84"/>
      <c r="E55" s="1"/>
    </row>
    <row r="56" spans="1:10" ht="39.65" customHeight="1" thickBot="1" x14ac:dyDescent="0.4">
      <c r="A56" s="7"/>
      <c r="B56" s="259" t="s">
        <v>126</v>
      </c>
      <c r="C56" s="260"/>
      <c r="D56" s="13"/>
      <c r="E56" s="1"/>
    </row>
    <row r="57" spans="1:10" ht="15" thickBot="1" x14ac:dyDescent="0.4">
      <c r="A57" s="7"/>
      <c r="B57" s="85"/>
      <c r="C57" s="85"/>
      <c r="D57" s="13"/>
      <c r="E57" s="1"/>
    </row>
    <row r="58" spans="1:10" ht="15" thickBot="1" x14ac:dyDescent="0.4">
      <c r="A58" s="7"/>
      <c r="B58" s="87" t="s">
        <v>113</v>
      </c>
      <c r="C58" s="88">
        <f>SUM('A - Professional Fees'!C:C)</f>
        <v>1123717</v>
      </c>
      <c r="D58" s="13"/>
      <c r="E58" s="1"/>
    </row>
    <row r="59" spans="1:10" ht="15" thickBot="1" x14ac:dyDescent="0.4">
      <c r="A59" s="8"/>
      <c r="B59" s="15"/>
      <c r="C59" s="15"/>
      <c r="D59" s="14"/>
      <c r="E59" s="1"/>
    </row>
    <row r="60" spans="1:10" ht="6.75" customHeight="1" thickBot="1" x14ac:dyDescent="0.4">
      <c r="B60" s="46"/>
      <c r="C60" s="47"/>
      <c r="D60" s="1"/>
      <c r="E60" s="1"/>
    </row>
    <row r="61" spans="1:10" ht="15" thickBot="1" x14ac:dyDescent="0.4">
      <c r="A61" s="6"/>
      <c r="B61" s="277" t="s">
        <v>117</v>
      </c>
      <c r="C61" s="277"/>
      <c r="D61" s="9"/>
      <c r="E61" s="3"/>
    </row>
    <row r="62" spans="1:10" ht="141.75" customHeight="1" thickBot="1" x14ac:dyDescent="0.4">
      <c r="A62" s="7"/>
      <c r="B62" s="259" t="s">
        <v>121</v>
      </c>
      <c r="C62" s="260"/>
      <c r="D62" s="10"/>
      <c r="E62" s="80"/>
      <c r="F62" s="16"/>
      <c r="G62" s="16"/>
      <c r="H62" s="16"/>
      <c r="I62" s="16"/>
      <c r="J62" s="16"/>
    </row>
    <row r="63" spans="1:10" ht="15" thickBot="1" x14ac:dyDescent="0.4">
      <c r="A63" s="7"/>
      <c r="B63" s="67"/>
      <c r="C63" s="67"/>
      <c r="D63" s="10"/>
      <c r="E63" s="3"/>
    </row>
    <row r="64" spans="1:10" ht="15" thickBot="1" x14ac:dyDescent="0.4">
      <c r="A64" s="7"/>
      <c r="B64" s="70" t="s">
        <v>111</v>
      </c>
      <c r="C64" s="71"/>
      <c r="D64" s="10"/>
      <c r="E64" s="3"/>
    </row>
    <row r="65" spans="1:14" ht="15.75" customHeight="1" x14ac:dyDescent="0.35">
      <c r="A65" s="69"/>
      <c r="B65" s="79" t="s">
        <v>119</v>
      </c>
      <c r="C65" s="105" t="str">
        <f>Summary!$C$120</f>
        <v>Yes</v>
      </c>
      <c r="D65" s="10"/>
      <c r="E65" s="3"/>
    </row>
    <row r="66" spans="1:14" ht="15" thickBot="1" x14ac:dyDescent="0.4">
      <c r="A66" s="7"/>
      <c r="B66" s="82" t="s">
        <v>753</v>
      </c>
      <c r="C66" s="83">
        <f>Summary!C121</f>
        <v>724.40114028360006</v>
      </c>
      <c r="D66" s="10"/>
      <c r="E66" s="16"/>
      <c r="F66" s="16"/>
      <c r="G66" s="16"/>
      <c r="H66" s="16"/>
      <c r="I66" s="16"/>
      <c r="J66" s="16"/>
    </row>
    <row r="67" spans="1:14" ht="15" thickBot="1" x14ac:dyDescent="0.4">
      <c r="A67" s="7"/>
      <c r="B67" s="5"/>
      <c r="C67" s="5"/>
      <c r="D67" s="10"/>
      <c r="E67" s="16"/>
      <c r="F67" s="16"/>
      <c r="G67" s="16"/>
      <c r="H67" s="16"/>
      <c r="I67" s="16"/>
      <c r="J67" s="16"/>
      <c r="K67" s="16"/>
      <c r="L67" s="16"/>
      <c r="M67" s="16"/>
      <c r="N67" s="16"/>
    </row>
    <row r="68" spans="1:14" ht="15" thickBot="1" x14ac:dyDescent="0.4">
      <c r="A68" s="7"/>
      <c r="B68" s="70" t="s">
        <v>118</v>
      </c>
      <c r="C68" s="72"/>
      <c r="D68" s="10"/>
      <c r="E68" s="3"/>
      <c r="F68" s="16"/>
      <c r="G68" s="16"/>
      <c r="H68" s="16"/>
      <c r="I68" s="16"/>
      <c r="J68" s="16"/>
      <c r="K68" s="16"/>
      <c r="L68" s="16"/>
      <c r="M68" s="16"/>
      <c r="N68" s="16"/>
    </row>
    <row r="69" spans="1:14" x14ac:dyDescent="0.35">
      <c r="A69" s="7"/>
      <c r="B69" s="64" t="s">
        <v>112</v>
      </c>
      <c r="C69" s="20">
        <f>Summary!$C$123</f>
        <v>0</v>
      </c>
      <c r="D69" s="10"/>
      <c r="E69" s="3"/>
    </row>
    <row r="70" spans="1:14" ht="15" thickBot="1" x14ac:dyDescent="0.4">
      <c r="A70" s="7"/>
      <c r="B70" s="81" t="s">
        <v>110</v>
      </c>
      <c r="C70" s="83">
        <f>Summary!$C$124</f>
        <v>0</v>
      </c>
      <c r="D70" s="10"/>
      <c r="E70" s="3"/>
    </row>
    <row r="71" spans="1:14" ht="15" thickBot="1" x14ac:dyDescent="0.4">
      <c r="A71" s="8"/>
      <c r="B71" s="50"/>
      <c r="C71" s="51"/>
      <c r="D71" s="11"/>
      <c r="E71" s="3"/>
    </row>
    <row r="72" spans="1:14" ht="6.75" customHeight="1" thickBot="1" x14ac:dyDescent="0.4">
      <c r="B72" s="46"/>
      <c r="C72" s="47"/>
      <c r="D72" s="1"/>
      <c r="E72" s="1"/>
    </row>
    <row r="73" spans="1:14" ht="15" thickBot="1" x14ac:dyDescent="0.4">
      <c r="A73" s="6"/>
      <c r="B73" s="269" t="s">
        <v>41</v>
      </c>
      <c r="C73" s="269"/>
      <c r="D73" s="9"/>
      <c r="E73" s="3"/>
    </row>
    <row r="74" spans="1:14" x14ac:dyDescent="0.35">
      <c r="A74" s="7"/>
      <c r="B74" s="53" t="s">
        <v>37</v>
      </c>
      <c r="C74" s="76">
        <f>C75+C76</f>
        <v>7257778</v>
      </c>
      <c r="D74" s="10"/>
      <c r="E74" s="1"/>
    </row>
    <row r="75" spans="1:14" x14ac:dyDescent="0.35">
      <c r="A75" s="7"/>
      <c r="B75" s="54" t="s">
        <v>34</v>
      </c>
      <c r="C75" s="77">
        <f>C12</f>
        <v>5644130</v>
      </c>
      <c r="D75" s="10"/>
      <c r="E75" s="1"/>
    </row>
    <row r="76" spans="1:14" x14ac:dyDescent="0.35">
      <c r="A76" s="7"/>
      <c r="B76" s="54" t="s">
        <v>35</v>
      </c>
      <c r="C76" s="77">
        <f>SUM(C48+C52+C58)</f>
        <v>1613648</v>
      </c>
      <c r="D76" s="10"/>
      <c r="E76" s="1"/>
    </row>
    <row r="77" spans="1:14" x14ac:dyDescent="0.35">
      <c r="A77" s="7"/>
      <c r="B77" s="55" t="s">
        <v>36</v>
      </c>
      <c r="C77" s="77">
        <f>C48</f>
        <v>460862</v>
      </c>
      <c r="D77" s="10"/>
      <c r="E77" s="1"/>
    </row>
    <row r="78" spans="1:14" x14ac:dyDescent="0.35">
      <c r="A78" s="7"/>
      <c r="B78" s="55" t="s">
        <v>39</v>
      </c>
      <c r="C78" s="77">
        <f>SUM(C26,C29,C42,C45)</f>
        <v>132653</v>
      </c>
      <c r="D78" s="10"/>
      <c r="E78" s="1"/>
    </row>
    <row r="79" spans="1:14" x14ac:dyDescent="0.35">
      <c r="A79" s="7"/>
      <c r="B79" s="55" t="s">
        <v>40</v>
      </c>
      <c r="C79" s="77">
        <f>SUM(C27,C30,C43,C46)</f>
        <v>328209</v>
      </c>
      <c r="D79" s="10"/>
      <c r="E79" s="1"/>
    </row>
    <row r="80" spans="1:14" x14ac:dyDescent="0.35">
      <c r="A80" s="7"/>
      <c r="B80" s="57" t="s">
        <v>107</v>
      </c>
      <c r="C80" s="77">
        <f>SUM(C28,C31,C44,C47)</f>
        <v>0</v>
      </c>
      <c r="D80" s="10"/>
      <c r="E80" s="1"/>
    </row>
    <row r="81" spans="1:10" x14ac:dyDescent="0.35">
      <c r="A81" s="7"/>
      <c r="B81" s="55" t="s">
        <v>108</v>
      </c>
      <c r="C81" s="77">
        <f>C52</f>
        <v>29069</v>
      </c>
      <c r="D81" s="10"/>
      <c r="E81" s="1"/>
    </row>
    <row r="82" spans="1:10" x14ac:dyDescent="0.35">
      <c r="A82" s="7"/>
      <c r="B82" s="55" t="s">
        <v>114</v>
      </c>
      <c r="C82" s="77">
        <f>C58</f>
        <v>1123717</v>
      </c>
      <c r="D82" s="10"/>
      <c r="E82" s="3"/>
      <c r="F82" s="16"/>
      <c r="G82" s="16"/>
      <c r="H82" s="16"/>
      <c r="I82" s="16"/>
      <c r="J82" s="16"/>
    </row>
    <row r="83" spans="1:10" x14ac:dyDescent="0.35">
      <c r="A83" s="7"/>
      <c r="B83" s="55" t="s">
        <v>115</v>
      </c>
      <c r="C83" s="77">
        <f>C69</f>
        <v>0</v>
      </c>
      <c r="D83" s="10"/>
      <c r="E83" s="3"/>
      <c r="F83" s="16"/>
      <c r="G83" s="16"/>
      <c r="H83" s="16"/>
      <c r="I83" s="16"/>
      <c r="J83" s="16"/>
    </row>
    <row r="84" spans="1:10" x14ac:dyDescent="0.35">
      <c r="A84" s="7"/>
      <c r="B84" s="55" t="s">
        <v>116</v>
      </c>
      <c r="C84" s="77">
        <f>C70</f>
        <v>0</v>
      </c>
      <c r="D84" s="10"/>
      <c r="E84" s="3"/>
      <c r="F84" s="16"/>
      <c r="G84" s="16"/>
      <c r="H84" s="16"/>
      <c r="I84" s="16"/>
      <c r="J84" s="16"/>
    </row>
    <row r="85" spans="1:10" ht="15" thickBot="1" x14ac:dyDescent="0.4">
      <c r="A85" s="7"/>
      <c r="B85" s="56" t="s">
        <v>17</v>
      </c>
      <c r="C85" s="78">
        <f>SUM(C19:C24,C35:C40)</f>
        <v>41</v>
      </c>
      <c r="D85" s="10"/>
      <c r="E85" s="1"/>
    </row>
    <row r="86" spans="1:10" ht="15" thickBot="1" x14ac:dyDescent="0.4">
      <c r="A86" s="8"/>
      <c r="B86" s="15"/>
      <c r="C86" s="15"/>
      <c r="D86" s="11"/>
      <c r="E86" s="1"/>
    </row>
    <row r="87" spans="1:10" s="16" customFormat="1" ht="6.75" customHeight="1" thickBot="1" x14ac:dyDescent="0.4">
      <c r="A87" s="64"/>
      <c r="B87" s="73"/>
      <c r="C87" s="75"/>
      <c r="D87" s="74"/>
      <c r="E87" s="3"/>
    </row>
    <row r="88" spans="1:10" ht="15" thickBot="1" x14ac:dyDescent="0.4">
      <c r="A88" s="6"/>
      <c r="B88" s="269" t="s">
        <v>10</v>
      </c>
      <c r="C88" s="269"/>
      <c r="D88" s="9"/>
      <c r="E88" s="1"/>
    </row>
    <row r="89" spans="1:10" ht="29.25" customHeight="1" thickBot="1" x14ac:dyDescent="0.4">
      <c r="A89" s="7"/>
      <c r="B89" s="261" t="str">
        <f>IF(Summary!$B$54="Report complete",Summary!$B$45,"[Please outline in this cell any comment or analysis you wish to give about the data you have provided on counsel briefs or expenditure (optional to complete)]")</f>
        <v>The increase in internal legal expenditure is primarily attributed to recruitment and associated travel costs for the Counsel Assisting Team, Examinations Branch.  The increase in external legal expenditure is primarily attributed to multiple contempt proceedings being brought by the ACIC against examinees who failed to comply with an Examiner's direction (and associated appeals and re-sentence hearings).</v>
      </c>
      <c r="C89" s="262"/>
      <c r="D89" s="10"/>
      <c r="E89" s="1"/>
    </row>
    <row r="90" spans="1:10" ht="15" thickBot="1" x14ac:dyDescent="0.4">
      <c r="A90" s="8"/>
      <c r="B90" s="52"/>
      <c r="C90" s="52"/>
      <c r="D90" s="11"/>
      <c r="E90" s="1"/>
    </row>
    <row r="91" spans="1:10" ht="15.5" x14ac:dyDescent="0.35">
      <c r="B91" s="4"/>
      <c r="C91"/>
      <c r="D91" s="1"/>
      <c r="E91" s="1"/>
    </row>
    <row r="92" spans="1:10" hidden="1" x14ac:dyDescent="0.35">
      <c r="B92"/>
      <c r="C92"/>
      <c r="D92" s="1"/>
      <c r="E92" s="1"/>
    </row>
    <row r="93" spans="1:10" hidden="1" x14ac:dyDescent="0.35">
      <c r="D93" s="1"/>
      <c r="E93" s="1"/>
    </row>
    <row r="94" spans="1:10" hidden="1" x14ac:dyDescent="0.35">
      <c r="B94"/>
      <c r="C94"/>
      <c r="D94" s="1"/>
      <c r="E94" s="1"/>
    </row>
    <row r="95" spans="1:10" hidden="1" x14ac:dyDescent="0.35">
      <c r="B95"/>
      <c r="C95"/>
      <c r="D95" s="1"/>
      <c r="E95" s="1"/>
    </row>
    <row r="96" spans="1:10" hidden="1" x14ac:dyDescent="0.35">
      <c r="B96"/>
      <c r="C96"/>
      <c r="D96" s="1"/>
      <c r="E96" s="1"/>
    </row>
    <row r="97" spans="1:5" ht="29.25" hidden="1" customHeight="1" x14ac:dyDescent="0.35">
      <c r="B97"/>
      <c r="C97"/>
      <c r="E97" s="1"/>
    </row>
    <row r="98" spans="1:5" hidden="1" x14ac:dyDescent="0.35">
      <c r="B98"/>
      <c r="C98"/>
      <c r="E98" s="1"/>
    </row>
    <row r="99" spans="1:5" hidden="1" x14ac:dyDescent="0.35">
      <c r="B99"/>
      <c r="C99"/>
      <c r="E99" s="1"/>
    </row>
    <row r="100" spans="1:5" hidden="1" x14ac:dyDescent="0.35">
      <c r="B100"/>
      <c r="C100"/>
      <c r="E100" s="1"/>
    </row>
    <row r="101" spans="1:5" hidden="1" x14ac:dyDescent="0.35">
      <c r="B101"/>
      <c r="C101"/>
      <c r="E101" s="1"/>
    </row>
    <row r="102" spans="1:5" hidden="1" x14ac:dyDescent="0.35">
      <c r="E102" s="1"/>
    </row>
    <row r="103" spans="1:5" hidden="1" x14ac:dyDescent="0.35">
      <c r="E103" s="1"/>
    </row>
    <row r="104" spans="1:5" hidden="1" x14ac:dyDescent="0.35">
      <c r="E104" s="1"/>
    </row>
    <row r="105" spans="1:5" hidden="1" x14ac:dyDescent="0.35">
      <c r="E105" s="1"/>
    </row>
    <row r="106" spans="1:5" hidden="1" x14ac:dyDescent="0.35">
      <c r="E106" s="1"/>
    </row>
    <row r="107" spans="1:5" hidden="1" x14ac:dyDescent="0.35">
      <c r="E107" s="1"/>
    </row>
    <row r="108" spans="1:5" hidden="1" x14ac:dyDescent="0.35">
      <c r="E108" s="1"/>
    </row>
    <row r="109" spans="1:5" hidden="1" x14ac:dyDescent="0.35">
      <c r="B109" s="2"/>
      <c r="C109" s="2"/>
      <c r="E109" s="1"/>
    </row>
    <row r="110" spans="1:5" hidden="1" x14ac:dyDescent="0.35">
      <c r="A110" s="2"/>
      <c r="E110" s="2"/>
    </row>
    <row r="111" spans="1:5" hidden="1" x14ac:dyDescent="0.35">
      <c r="E111" s="1"/>
    </row>
    <row r="112" spans="1:5" hidden="1" x14ac:dyDescent="0.35">
      <c r="E112" s="1"/>
    </row>
    <row r="113" spans="4:5" hidden="1" x14ac:dyDescent="0.35">
      <c r="D113" s="1"/>
      <c r="E113" s="1"/>
    </row>
    <row r="114" spans="4:5" hidden="1" x14ac:dyDescent="0.35">
      <c r="D114" s="1"/>
      <c r="E114" s="1"/>
    </row>
    <row r="115" spans="4:5" hidden="1" x14ac:dyDescent="0.35">
      <c r="D115" s="1"/>
      <c r="E115" s="1"/>
    </row>
    <row r="116" spans="4:5" hidden="1" x14ac:dyDescent="0.35">
      <c r="D116" s="1"/>
      <c r="E116" s="1"/>
    </row>
    <row r="117" spans="4:5" hidden="1" x14ac:dyDescent="0.35">
      <c r="D117" s="1"/>
      <c r="E117" s="1"/>
    </row>
    <row r="118" spans="4:5" hidden="1" x14ac:dyDescent="0.35">
      <c r="D118" s="1"/>
      <c r="E118" s="1"/>
    </row>
    <row r="119" spans="4:5" hidden="1" x14ac:dyDescent="0.35">
      <c r="D119" s="1"/>
      <c r="E119" s="1"/>
    </row>
    <row r="120" spans="4:5" hidden="1" x14ac:dyDescent="0.35">
      <c r="D120" s="1"/>
      <c r="E120" s="1"/>
    </row>
    <row r="121" spans="4:5" hidden="1" x14ac:dyDescent="0.35">
      <c r="D121" s="1"/>
      <c r="E121" s="1"/>
    </row>
    <row r="122" spans="4:5" hidden="1" x14ac:dyDescent="0.35">
      <c r="D122" s="1"/>
      <c r="E122" s="1"/>
    </row>
    <row r="123" spans="4:5" hidden="1" x14ac:dyDescent="0.35">
      <c r="D123" s="1"/>
      <c r="E123" s="1"/>
    </row>
    <row r="124" spans="4:5" hidden="1" x14ac:dyDescent="0.35">
      <c r="D124" s="1"/>
      <c r="E124" s="1"/>
    </row>
    <row r="125" spans="4:5" hidden="1" x14ac:dyDescent="0.35">
      <c r="D125" s="1"/>
      <c r="E125" s="1"/>
    </row>
    <row r="126" spans="4:5" hidden="1" x14ac:dyDescent="0.35">
      <c r="D126" s="1"/>
      <c r="E126" s="1"/>
    </row>
    <row r="127" spans="4:5" hidden="1" x14ac:dyDescent="0.35">
      <c r="D127" s="1"/>
      <c r="E127" s="1"/>
    </row>
    <row r="128" spans="4:5" hidden="1" x14ac:dyDescent="0.35">
      <c r="D128" s="1"/>
      <c r="E128" s="1"/>
    </row>
    <row r="129" spans="4:5" hidden="1" x14ac:dyDescent="0.35">
      <c r="D129" s="1"/>
      <c r="E129" s="1"/>
    </row>
    <row r="130" spans="4:5" hidden="1" x14ac:dyDescent="0.35">
      <c r="D130" s="1"/>
      <c r="E130" s="1"/>
    </row>
    <row r="131" spans="4:5" hidden="1" x14ac:dyDescent="0.35">
      <c r="D131" s="1"/>
      <c r="E131" s="1"/>
    </row>
    <row r="132" spans="4:5" hidden="1" x14ac:dyDescent="0.35">
      <c r="D132" s="1"/>
      <c r="E132" s="1"/>
    </row>
    <row r="133" spans="4:5" hidden="1" x14ac:dyDescent="0.35">
      <c r="D133" s="1"/>
      <c r="E133" s="1"/>
    </row>
    <row r="134" spans="4:5" hidden="1" x14ac:dyDescent="0.35">
      <c r="D134" s="1"/>
      <c r="E134" s="1"/>
    </row>
    <row r="135" spans="4:5" hidden="1" x14ac:dyDescent="0.35">
      <c r="D135" s="1"/>
      <c r="E135" s="1"/>
    </row>
    <row r="136" spans="4:5" hidden="1" x14ac:dyDescent="0.35">
      <c r="D136" s="1"/>
      <c r="E136" s="1"/>
    </row>
    <row r="137" spans="4:5" hidden="1" x14ac:dyDescent="0.35">
      <c r="D137" s="1"/>
      <c r="E137" s="1"/>
    </row>
    <row r="138" spans="4:5" hidden="1" x14ac:dyDescent="0.35">
      <c r="D138" s="1"/>
      <c r="E138" s="1"/>
    </row>
    <row r="139" spans="4:5" hidden="1" x14ac:dyDescent="0.35">
      <c r="D139" s="1"/>
      <c r="E139" s="1"/>
    </row>
    <row r="140" spans="4:5" hidden="1" x14ac:dyDescent="0.35">
      <c r="D140" s="1"/>
      <c r="E140" s="1"/>
    </row>
    <row r="141" spans="4:5" hidden="1" x14ac:dyDescent="0.35">
      <c r="D141" s="1"/>
      <c r="E141" s="1"/>
    </row>
    <row r="142" spans="4:5" hidden="1" x14ac:dyDescent="0.35">
      <c r="D142" s="1"/>
      <c r="E142" s="1"/>
    </row>
    <row r="143" spans="4:5" hidden="1" x14ac:dyDescent="0.35">
      <c r="D143" s="1"/>
      <c r="E143" s="1"/>
    </row>
    <row r="144" spans="4:5" hidden="1" x14ac:dyDescent="0.35">
      <c r="D144" s="1"/>
      <c r="E144" s="1"/>
    </row>
    <row r="145" spans="4:5" hidden="1" x14ac:dyDescent="0.35">
      <c r="D145" s="1"/>
      <c r="E145" s="1"/>
    </row>
    <row r="146" spans="4:5" hidden="1" x14ac:dyDescent="0.35">
      <c r="D146" s="1"/>
      <c r="E146" s="1"/>
    </row>
    <row r="147" spans="4:5" hidden="1" x14ac:dyDescent="0.35">
      <c r="D147" s="1"/>
      <c r="E147" s="1"/>
    </row>
    <row r="148" spans="4:5" hidden="1" x14ac:dyDescent="0.35">
      <c r="D148" s="1"/>
      <c r="E148" s="1"/>
    </row>
    <row r="149" spans="4:5" hidden="1" x14ac:dyDescent="0.35">
      <c r="D149" s="1"/>
      <c r="E149" s="1"/>
    </row>
    <row r="150" spans="4:5" hidden="1" x14ac:dyDescent="0.35">
      <c r="D150" s="1"/>
      <c r="E150" s="1"/>
    </row>
    <row r="151" spans="4:5" hidden="1" x14ac:dyDescent="0.35">
      <c r="D151" s="1"/>
      <c r="E151" s="1"/>
    </row>
    <row r="152" spans="4:5" hidden="1" x14ac:dyDescent="0.35">
      <c r="D152" s="1"/>
      <c r="E152" s="1"/>
    </row>
    <row r="153" spans="4:5" hidden="1" x14ac:dyDescent="0.35">
      <c r="D153" s="1"/>
      <c r="E153" s="1"/>
    </row>
    <row r="154" spans="4:5" hidden="1" x14ac:dyDescent="0.35">
      <c r="D154" s="1"/>
      <c r="E154" s="1"/>
    </row>
    <row r="155" spans="4:5" hidden="1" x14ac:dyDescent="0.35">
      <c r="D155" s="1"/>
      <c r="E155" s="1"/>
    </row>
    <row r="156" spans="4:5" hidden="1" x14ac:dyDescent="0.35">
      <c r="D156" s="1"/>
      <c r="E156" s="1"/>
    </row>
    <row r="157" spans="4:5" hidden="1" x14ac:dyDescent="0.35">
      <c r="D157" s="1"/>
      <c r="E157" s="1"/>
    </row>
    <row r="158" spans="4:5" hidden="1" x14ac:dyDescent="0.35">
      <c r="D158" s="1"/>
      <c r="E158" s="1"/>
    </row>
    <row r="159" spans="4:5" hidden="1" x14ac:dyDescent="0.35">
      <c r="D159" s="1"/>
      <c r="E159" s="1"/>
    </row>
    <row r="160" spans="4:5" hidden="1" x14ac:dyDescent="0.35">
      <c r="D160" s="1"/>
      <c r="E160" s="1"/>
    </row>
    <row r="161" spans="4:5" hidden="1" x14ac:dyDescent="0.35">
      <c r="D161" s="1"/>
      <c r="E161" s="1"/>
    </row>
    <row r="162" spans="4:5" hidden="1" x14ac:dyDescent="0.35">
      <c r="D162" s="1"/>
      <c r="E162" s="1"/>
    </row>
    <row r="163" spans="4:5" hidden="1" x14ac:dyDescent="0.35">
      <c r="D163" s="1"/>
      <c r="E163" s="1"/>
    </row>
    <row r="164" spans="4:5" hidden="1" x14ac:dyDescent="0.35">
      <c r="D164" s="1"/>
      <c r="E164" s="1"/>
    </row>
    <row r="165" spans="4:5" hidden="1" x14ac:dyDescent="0.35">
      <c r="D165" s="1"/>
      <c r="E165" s="1"/>
    </row>
    <row r="166" spans="4:5" hidden="1" x14ac:dyDescent="0.35">
      <c r="D166" s="1"/>
      <c r="E166" s="1"/>
    </row>
    <row r="167" spans="4:5" hidden="1" x14ac:dyDescent="0.35">
      <c r="D167" s="1"/>
      <c r="E167" s="1"/>
    </row>
    <row r="168" spans="4:5" hidden="1" x14ac:dyDescent="0.35">
      <c r="D168" s="1"/>
      <c r="E168" s="1"/>
    </row>
    <row r="169" spans="4:5" hidden="1" x14ac:dyDescent="0.35">
      <c r="D169" s="1"/>
      <c r="E169" s="1"/>
    </row>
    <row r="170" spans="4:5" hidden="1" x14ac:dyDescent="0.35">
      <c r="D170" s="1"/>
      <c r="E170" s="1"/>
    </row>
    <row r="171" spans="4:5" hidden="1" x14ac:dyDescent="0.35">
      <c r="D171" s="1"/>
      <c r="E171" s="1"/>
    </row>
    <row r="172" spans="4:5" hidden="1" x14ac:dyDescent="0.35">
      <c r="D172" s="1"/>
      <c r="E172" s="1"/>
    </row>
    <row r="173" spans="4:5" hidden="1" x14ac:dyDescent="0.35">
      <c r="D173" s="1"/>
      <c r="E173" s="1"/>
    </row>
    <row r="174" spans="4:5" hidden="1" x14ac:dyDescent="0.35">
      <c r="D174" s="1"/>
      <c r="E174" s="1"/>
    </row>
    <row r="175" spans="4:5" hidden="1" x14ac:dyDescent="0.35">
      <c r="D175" s="1"/>
      <c r="E175" s="1"/>
    </row>
    <row r="176" spans="4:5" hidden="1" x14ac:dyDescent="0.35">
      <c r="D176" s="1"/>
      <c r="E176" s="1"/>
    </row>
    <row r="177" spans="4:5" ht="16.5" hidden="1" customHeight="1" x14ac:dyDescent="0.35">
      <c r="D177" s="1"/>
      <c r="E177" s="1"/>
    </row>
    <row r="178" spans="4:5" hidden="1" x14ac:dyDescent="0.35">
      <c r="D178" s="1"/>
      <c r="E178" s="1"/>
    </row>
    <row r="179" spans="4:5" hidden="1" x14ac:dyDescent="0.35">
      <c r="D179" s="1"/>
      <c r="E179" s="1"/>
    </row>
    <row r="180" spans="4:5" hidden="1" x14ac:dyDescent="0.35">
      <c r="D180" s="1"/>
      <c r="E180" s="1"/>
    </row>
    <row r="181" spans="4:5" hidden="1" x14ac:dyDescent="0.35">
      <c r="D181" s="1"/>
      <c r="E181" s="1"/>
    </row>
    <row r="182" spans="4:5" hidden="1" x14ac:dyDescent="0.35">
      <c r="D182" s="1"/>
      <c r="E182" s="1"/>
    </row>
    <row r="183" spans="4:5" hidden="1" x14ac:dyDescent="0.35">
      <c r="D183" s="1"/>
      <c r="E183" s="1"/>
    </row>
    <row r="184" spans="4:5" hidden="1" x14ac:dyDescent="0.35">
      <c r="D184" s="1"/>
      <c r="E184" s="1"/>
    </row>
    <row r="185" spans="4:5" hidden="1" x14ac:dyDescent="0.35">
      <c r="D185" s="1"/>
      <c r="E185" s="1"/>
    </row>
    <row r="186" spans="4:5" hidden="1" x14ac:dyDescent="0.35">
      <c r="D186" s="1"/>
      <c r="E186" s="1"/>
    </row>
    <row r="187" spans="4:5" hidden="1" x14ac:dyDescent="0.35">
      <c r="D187" s="1"/>
      <c r="E187" s="1"/>
    </row>
    <row r="188" spans="4:5" hidden="1" x14ac:dyDescent="0.35">
      <c r="D188" s="1"/>
      <c r="E188" s="1"/>
    </row>
    <row r="189" spans="4:5" hidden="1" x14ac:dyDescent="0.35">
      <c r="D189" s="1"/>
      <c r="E189" s="1"/>
    </row>
    <row r="190" spans="4:5" hidden="1" x14ac:dyDescent="0.35">
      <c r="D190" s="1"/>
      <c r="E190" s="1"/>
    </row>
    <row r="191" spans="4:5" hidden="1" x14ac:dyDescent="0.35">
      <c r="D191" s="1"/>
      <c r="E191" s="1"/>
    </row>
    <row r="192" spans="4:5" hidden="1" x14ac:dyDescent="0.35">
      <c r="D192" s="1"/>
      <c r="E192" s="1"/>
    </row>
    <row r="193" spans="4:5" hidden="1" x14ac:dyDescent="0.35">
      <c r="D193" s="1"/>
      <c r="E193" s="1"/>
    </row>
    <row r="194" spans="4:5" hidden="1" x14ac:dyDescent="0.35">
      <c r="D194" s="1"/>
      <c r="E194" s="1"/>
    </row>
    <row r="195" spans="4:5" hidden="1" x14ac:dyDescent="0.35">
      <c r="D195" s="1"/>
      <c r="E195" s="1"/>
    </row>
    <row r="196" spans="4:5" hidden="1" x14ac:dyDescent="0.35">
      <c r="D196" s="1"/>
      <c r="E196" s="1"/>
    </row>
    <row r="197" spans="4:5" hidden="1" x14ac:dyDescent="0.35">
      <c r="D197" s="1"/>
      <c r="E197" s="1"/>
    </row>
    <row r="198" spans="4:5" hidden="1" x14ac:dyDescent="0.35">
      <c r="D198" s="1"/>
      <c r="E198" s="1"/>
    </row>
    <row r="199" spans="4:5" hidden="1" x14ac:dyDescent="0.35">
      <c r="D199" s="1"/>
      <c r="E199" s="1"/>
    </row>
    <row r="200" spans="4:5" hidden="1" x14ac:dyDescent="0.35">
      <c r="D200" s="1"/>
      <c r="E200" s="1"/>
    </row>
    <row r="201" spans="4:5" hidden="1" x14ac:dyDescent="0.35">
      <c r="D201" s="1"/>
      <c r="E201" s="1"/>
    </row>
    <row r="202" spans="4:5" hidden="1" x14ac:dyDescent="0.35">
      <c r="D202" s="1"/>
      <c r="E202" s="1"/>
    </row>
    <row r="203" spans="4:5" hidden="1" x14ac:dyDescent="0.35">
      <c r="D203" s="1"/>
      <c r="E203" s="1"/>
    </row>
    <row r="204" spans="4:5" hidden="1" x14ac:dyDescent="0.35">
      <c r="D204" s="1"/>
      <c r="E204" s="1"/>
    </row>
    <row r="205" spans="4:5" hidden="1" x14ac:dyDescent="0.35">
      <c r="D205" s="1"/>
      <c r="E205" s="1"/>
    </row>
    <row r="206" spans="4:5" hidden="1" x14ac:dyDescent="0.35">
      <c r="D206" s="1"/>
      <c r="E206" s="1"/>
    </row>
    <row r="207" spans="4:5" hidden="1" x14ac:dyDescent="0.35">
      <c r="D207" s="1"/>
      <c r="E207" s="1"/>
    </row>
    <row r="208" spans="4:5" hidden="1" x14ac:dyDescent="0.35">
      <c r="D208" s="1"/>
      <c r="E208" s="1"/>
    </row>
    <row r="209" spans="4:5" hidden="1" x14ac:dyDescent="0.35">
      <c r="D209" s="1"/>
      <c r="E209" s="1"/>
    </row>
    <row r="210" spans="4:5" hidden="1" x14ac:dyDescent="0.35">
      <c r="D210" s="1"/>
      <c r="E210" s="1"/>
    </row>
    <row r="211" spans="4:5" hidden="1" x14ac:dyDescent="0.35">
      <c r="D211" s="1"/>
      <c r="E211" s="1"/>
    </row>
    <row r="212" spans="4:5" hidden="1" x14ac:dyDescent="0.35">
      <c r="D212" s="1"/>
      <c r="E212" s="1"/>
    </row>
    <row r="213" spans="4:5" hidden="1" x14ac:dyDescent="0.35">
      <c r="D213" s="1"/>
      <c r="E213" s="1"/>
    </row>
    <row r="214" spans="4:5" hidden="1" x14ac:dyDescent="0.35">
      <c r="D214" s="1"/>
      <c r="E214" s="1"/>
    </row>
    <row r="215" spans="4:5" hidden="1" x14ac:dyDescent="0.35">
      <c r="D215" s="1"/>
      <c r="E215" s="1"/>
    </row>
    <row r="216" spans="4:5" hidden="1" x14ac:dyDescent="0.35">
      <c r="D216" s="1"/>
      <c r="E216" s="1"/>
    </row>
    <row r="217" spans="4:5" hidden="1" x14ac:dyDescent="0.35">
      <c r="D217" s="1"/>
      <c r="E217" s="1"/>
    </row>
    <row r="218" spans="4:5" hidden="1" x14ac:dyDescent="0.35">
      <c r="D218" s="1"/>
      <c r="E218" s="1"/>
    </row>
    <row r="219" spans="4:5" hidden="1" x14ac:dyDescent="0.35">
      <c r="D219" s="1"/>
      <c r="E219" s="1"/>
    </row>
    <row r="220" spans="4:5" hidden="1" x14ac:dyDescent="0.35">
      <c r="D220" s="1"/>
      <c r="E220" s="1"/>
    </row>
    <row r="221" spans="4:5" ht="15" hidden="1" customHeight="1" x14ac:dyDescent="0.35">
      <c r="D221" s="1"/>
      <c r="E221" s="1"/>
    </row>
    <row r="222" spans="4:5" hidden="1" x14ac:dyDescent="0.35">
      <c r="D222" s="1"/>
      <c r="E222" s="1"/>
    </row>
    <row r="223" spans="4:5" hidden="1" x14ac:dyDescent="0.35">
      <c r="D223" s="1"/>
      <c r="E223" s="1"/>
    </row>
    <row r="224" spans="4:5" hidden="1" x14ac:dyDescent="0.35">
      <c r="D224" s="1"/>
      <c r="E224" s="1"/>
    </row>
    <row r="225" spans="4:5" hidden="1" x14ac:dyDescent="0.35">
      <c r="D225" s="1"/>
      <c r="E225" s="1"/>
    </row>
    <row r="226" spans="4:5" hidden="1" x14ac:dyDescent="0.35">
      <c r="D226" s="1"/>
      <c r="E226" s="1"/>
    </row>
    <row r="227" spans="4:5" hidden="1" x14ac:dyDescent="0.35">
      <c r="D227" s="1"/>
      <c r="E227" s="1"/>
    </row>
    <row r="228" spans="4:5" hidden="1" x14ac:dyDescent="0.35">
      <c r="D228" s="1"/>
      <c r="E228" s="1"/>
    </row>
    <row r="229" spans="4:5" ht="9" hidden="1" customHeight="1" x14ac:dyDescent="0.35">
      <c r="D229" s="1"/>
      <c r="E229" s="1"/>
    </row>
    <row r="230" spans="4:5" hidden="1" x14ac:dyDescent="0.35"/>
    <row r="231" spans="4:5" hidden="1" x14ac:dyDescent="0.35"/>
    <row r="232" spans="4:5" hidden="1" x14ac:dyDescent="0.35"/>
    <row r="233" spans="4:5" hidden="1" x14ac:dyDescent="0.35"/>
    <row r="234" spans="4:5" hidden="1" x14ac:dyDescent="0.35"/>
    <row r="235" spans="4:5" hidden="1" x14ac:dyDescent="0.35"/>
    <row r="236" spans="4:5" hidden="1" x14ac:dyDescent="0.35"/>
    <row r="237" spans="4:5" x14ac:dyDescent="0.35"/>
    <row r="238" spans="4:5" x14ac:dyDescent="0.35"/>
    <row r="239" spans="4:5" x14ac:dyDescent="0.35"/>
    <row r="240" spans="4:5"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sheetData>
  <sheetProtection algorithmName="SHA-256" hashValue="ENijPpZsM5CcFgZTHydRRc/VS8Z716R4+XkC0pMoR9k=" saltValue="ADwN6+lCmoZCECo1OUqX5A==" spinCount="100000" sheet="1" formatRows="0" insertRows="0" selectLockedCells="1"/>
  <dataConsolidate/>
  <mergeCells count="17">
    <mergeCell ref="B73:C73"/>
    <mergeCell ref="B55:C55"/>
    <mergeCell ref="B56:C56"/>
    <mergeCell ref="B89:C89"/>
    <mergeCell ref="B6:C6"/>
    <mergeCell ref="B1:C1"/>
    <mergeCell ref="B2:C2"/>
    <mergeCell ref="B3:C3"/>
    <mergeCell ref="B88:C88"/>
    <mergeCell ref="B10:C10"/>
    <mergeCell ref="B7:C7"/>
    <mergeCell ref="B17:C17"/>
    <mergeCell ref="B62:C62"/>
    <mergeCell ref="B16:C16"/>
    <mergeCell ref="B33:C33"/>
    <mergeCell ref="B51:C51"/>
    <mergeCell ref="B61:C61"/>
  </mergeCells>
  <dataValidations count="1">
    <dataValidation allowBlank="1" showInputMessage="1" showErrorMessage="1" error="You must select Yes or No" sqref="C67 C65" xr:uid="{00000000-0002-0000-0400-000000000000}"/>
  </dataValidations>
  <pageMargins left="0.7" right="0.7" top="0.75" bottom="0.75" header="0.3" footer="0.3"/>
  <pageSetup scale="64" fitToHeight="0"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2"/>
  <sheetViews>
    <sheetView zoomScale="115" zoomScaleNormal="115" workbookViewId="0">
      <selection activeCell="B13" sqref="B13"/>
    </sheetView>
  </sheetViews>
  <sheetFormatPr defaultRowHeight="14.5" x14ac:dyDescent="0.35"/>
  <cols>
    <col min="2" max="2" width="77.54296875" customWidth="1"/>
    <col min="3" max="3" width="22.453125" customWidth="1"/>
  </cols>
  <sheetData>
    <row r="1" spans="1:4" ht="15" thickBot="1" x14ac:dyDescent="0.4">
      <c r="A1" s="99"/>
      <c r="B1" s="278" t="s">
        <v>120</v>
      </c>
      <c r="C1" s="278"/>
      <c r="D1" s="12"/>
    </row>
    <row r="2" spans="1:4" ht="63.75" customHeight="1" thickBot="1" x14ac:dyDescent="0.4">
      <c r="A2" s="100"/>
      <c r="B2" s="259" t="s">
        <v>131</v>
      </c>
      <c r="C2" s="260"/>
      <c r="D2" s="13"/>
    </row>
    <row r="3" spans="1:4" ht="15" thickBot="1" x14ac:dyDescent="0.4">
      <c r="A3" s="100"/>
      <c r="B3" s="86"/>
      <c r="C3" s="86"/>
      <c r="D3" s="13"/>
    </row>
    <row r="4" spans="1:4" ht="15" thickBot="1" x14ac:dyDescent="0.4">
      <c r="A4" s="100"/>
      <c r="B4" s="94" t="s">
        <v>127</v>
      </c>
      <c r="C4" s="95"/>
      <c r="D4" s="13"/>
    </row>
    <row r="5" spans="1:4" x14ac:dyDescent="0.35">
      <c r="A5" s="100"/>
      <c r="B5" s="68" t="s">
        <v>122</v>
      </c>
      <c r="C5" s="20">
        <f>Summary!C134</f>
        <v>0</v>
      </c>
      <c r="D5" s="13"/>
    </row>
    <row r="6" spans="1:4" x14ac:dyDescent="0.35">
      <c r="A6" s="100"/>
      <c r="B6" s="68" t="s">
        <v>15</v>
      </c>
      <c r="C6" s="20">
        <f>Summary!C135</f>
        <v>0</v>
      </c>
      <c r="D6" s="13"/>
    </row>
    <row r="7" spans="1:4" ht="15" thickBot="1" x14ac:dyDescent="0.4">
      <c r="A7" s="100"/>
      <c r="B7" s="68" t="s">
        <v>16</v>
      </c>
      <c r="C7" s="20">
        <f>Summary!C136</f>
        <v>0</v>
      </c>
      <c r="D7" s="13"/>
    </row>
    <row r="8" spans="1:4" ht="15" thickBot="1" x14ac:dyDescent="0.4">
      <c r="A8" s="100"/>
      <c r="B8" s="96" t="s">
        <v>128</v>
      </c>
      <c r="C8" s="97"/>
      <c r="D8" s="13"/>
    </row>
    <row r="9" spans="1:4" ht="15" thickBot="1" x14ac:dyDescent="0.4">
      <c r="A9" s="100"/>
      <c r="B9" s="98" t="s">
        <v>11</v>
      </c>
      <c r="C9" s="20">
        <f>Summary!C139</f>
        <v>0</v>
      </c>
      <c r="D9" s="13"/>
    </row>
    <row r="10" spans="1:4" ht="15" thickBot="1" x14ac:dyDescent="0.4">
      <c r="A10" s="100"/>
      <c r="B10" s="96" t="s">
        <v>129</v>
      </c>
      <c r="C10" s="71"/>
      <c r="D10" s="13"/>
    </row>
    <row r="11" spans="1:4" x14ac:dyDescent="0.35">
      <c r="A11" s="100"/>
      <c r="B11" s="91" t="s">
        <v>1</v>
      </c>
      <c r="C11" s="20">
        <f>Summary!C142</f>
        <v>820503</v>
      </c>
      <c r="D11" s="13"/>
    </row>
    <row r="12" spans="1:4" x14ac:dyDescent="0.35">
      <c r="A12" s="100"/>
      <c r="B12" s="92" t="str">
        <f>Summary!$B143</f>
        <v>Ashurst</v>
      </c>
      <c r="C12" s="20">
        <f>IF($B12="",0,Summary!$C143)</f>
        <v>81149</v>
      </c>
      <c r="D12" s="13"/>
    </row>
    <row r="13" spans="1:4" x14ac:dyDescent="0.35">
      <c r="A13" s="100"/>
      <c r="B13" s="92" t="str">
        <f>Summary!$B144</f>
        <v>Clayton Utz</v>
      </c>
      <c r="C13" s="20">
        <f>IF($B13="",0,Summary!$C144)</f>
        <v>136005</v>
      </c>
      <c r="D13" s="13"/>
    </row>
    <row r="14" spans="1:4" x14ac:dyDescent="0.35">
      <c r="A14" s="100"/>
      <c r="B14" s="92" t="str">
        <f>Summary!$B145</f>
        <v>King and Wood Mallesons</v>
      </c>
      <c r="C14" s="20">
        <f>IF($B14="",0,Summary!$C145)</f>
        <v>77842</v>
      </c>
      <c r="D14" s="13"/>
    </row>
    <row r="15" spans="1:4" x14ac:dyDescent="0.35">
      <c r="A15" s="100"/>
      <c r="B15" s="92" t="str">
        <f>Summary!$B146</f>
        <v>Maddocks</v>
      </c>
      <c r="C15" s="20">
        <f>IF($B15="",0,Summary!$C146)</f>
        <v>5500</v>
      </c>
      <c r="D15" s="13"/>
    </row>
    <row r="16" spans="1:4" x14ac:dyDescent="0.35">
      <c r="A16" s="100"/>
      <c r="B16" s="92" t="str">
        <f>Summary!$B147</f>
        <v>Norton Rose Fulbright</v>
      </c>
      <c r="C16" s="20">
        <f>IF($B16="",0,Summary!$C147)</f>
        <v>2718</v>
      </c>
      <c r="D16" s="13"/>
    </row>
    <row r="17" spans="1:4" x14ac:dyDescent="0.35">
      <c r="A17" s="100"/>
      <c r="B17" s="92" t="str">
        <f>Summary!$B148</f>
        <v/>
      </c>
      <c r="C17" s="20">
        <f>IF($B17="",0,Summary!$C148)</f>
        <v>0</v>
      </c>
      <c r="D17" s="13"/>
    </row>
    <row r="18" spans="1:4" x14ac:dyDescent="0.35">
      <c r="A18" s="100"/>
      <c r="B18" s="92" t="str">
        <f>Summary!$B149</f>
        <v/>
      </c>
      <c r="C18" s="20">
        <f>IF($B18="",0,Summary!$C149)</f>
        <v>0</v>
      </c>
      <c r="D18" s="13"/>
    </row>
    <row r="19" spans="1:4" x14ac:dyDescent="0.35">
      <c r="A19" s="100"/>
      <c r="B19" s="92" t="str">
        <f>Summary!$B150</f>
        <v/>
      </c>
      <c r="C19" s="20">
        <f>IF($B19="",0,Summary!$C150)</f>
        <v>0</v>
      </c>
      <c r="D19" s="13"/>
    </row>
    <row r="20" spans="1:4" x14ac:dyDescent="0.35">
      <c r="A20" s="100"/>
      <c r="B20" s="92" t="str">
        <f>Summary!$B151</f>
        <v/>
      </c>
      <c r="C20" s="20">
        <f>IF($B20="",0,Summary!$C151)</f>
        <v>0</v>
      </c>
      <c r="D20" s="13"/>
    </row>
    <row r="21" spans="1:4" x14ac:dyDescent="0.35">
      <c r="A21" s="100"/>
      <c r="B21" s="92" t="str">
        <f>Summary!$B152</f>
        <v/>
      </c>
      <c r="C21" s="20">
        <f>IF($B21="",0,Summary!$C152)</f>
        <v>0</v>
      </c>
      <c r="D21" s="13"/>
    </row>
    <row r="22" spans="1:4" x14ac:dyDescent="0.35">
      <c r="A22" s="100"/>
      <c r="B22" s="92" t="str">
        <f>Summary!$B153</f>
        <v/>
      </c>
      <c r="C22" s="20">
        <f>IF($B22="",0,Summary!$C153)</f>
        <v>0</v>
      </c>
      <c r="D22" s="13"/>
    </row>
    <row r="23" spans="1:4" x14ac:dyDescent="0.35">
      <c r="A23" s="100"/>
      <c r="B23" s="92" t="str">
        <f>Summary!$B154</f>
        <v/>
      </c>
      <c r="C23" s="20">
        <f>IF($B23="",0,Summary!$C154)</f>
        <v>0</v>
      </c>
      <c r="D23" s="13"/>
    </row>
    <row r="24" spans="1:4" x14ac:dyDescent="0.35">
      <c r="A24" s="100"/>
      <c r="B24" s="92" t="str">
        <f>Summary!$B155</f>
        <v/>
      </c>
      <c r="C24" s="20">
        <f>IF($B24="",0,Summary!$C155)</f>
        <v>0</v>
      </c>
      <c r="D24" s="13"/>
    </row>
    <row r="25" spans="1:4" x14ac:dyDescent="0.35">
      <c r="A25" s="100"/>
      <c r="B25" s="92" t="str">
        <f>Summary!$B156</f>
        <v/>
      </c>
      <c r="C25" s="20">
        <f>IF($B25="",0,Summary!$C156)</f>
        <v>0</v>
      </c>
      <c r="D25" s="13"/>
    </row>
    <row r="26" spans="1:4" x14ac:dyDescent="0.35">
      <c r="A26" s="100"/>
      <c r="B26" s="92" t="str">
        <f>Summary!$B157</f>
        <v/>
      </c>
      <c r="C26" s="20">
        <f>IF($B26="",0,Summary!$C157)</f>
        <v>0</v>
      </c>
      <c r="D26" s="13"/>
    </row>
    <row r="27" spans="1:4" x14ac:dyDescent="0.35">
      <c r="A27" s="100"/>
      <c r="B27" s="92" t="str">
        <f>Summary!$B158</f>
        <v/>
      </c>
      <c r="C27" s="20">
        <f>IF($B27="",0,Summary!$C158)</f>
        <v>0</v>
      </c>
      <c r="D27" s="13"/>
    </row>
    <row r="28" spans="1:4" x14ac:dyDescent="0.35">
      <c r="A28" s="100"/>
      <c r="B28" s="92" t="str">
        <f>Summary!$B159</f>
        <v/>
      </c>
      <c r="C28" s="20">
        <f>IF($B28="",0,Summary!$C159)</f>
        <v>0</v>
      </c>
      <c r="D28" s="13"/>
    </row>
    <row r="29" spans="1:4" x14ac:dyDescent="0.35">
      <c r="A29" s="100"/>
      <c r="B29" s="92" t="str">
        <f>Summary!$B160</f>
        <v/>
      </c>
      <c r="C29" s="20">
        <f>IF($B29="",0,Summary!$C160)</f>
        <v>0</v>
      </c>
      <c r="D29" s="13"/>
    </row>
    <row r="30" spans="1:4" x14ac:dyDescent="0.35">
      <c r="A30" s="100"/>
      <c r="B30" s="92" t="str">
        <f>Summary!$B161</f>
        <v/>
      </c>
      <c r="C30" s="20">
        <f>IF($B30="",0,Summary!$C161)</f>
        <v>0</v>
      </c>
      <c r="D30" s="13"/>
    </row>
    <row r="31" spans="1:4" x14ac:dyDescent="0.35">
      <c r="A31" s="100"/>
      <c r="B31" s="92" t="str">
        <f>Summary!$B162</f>
        <v/>
      </c>
      <c r="C31" s="20">
        <f>IF($B31="",0,Summary!$C162)</f>
        <v>0</v>
      </c>
      <c r="D31" s="13"/>
    </row>
    <row r="32" spans="1:4" x14ac:dyDescent="0.35">
      <c r="A32" s="100"/>
      <c r="B32" s="92" t="str">
        <f>Summary!$B163</f>
        <v/>
      </c>
      <c r="C32" s="20">
        <f>IF($B32="",0,Summary!$C163)</f>
        <v>0</v>
      </c>
      <c r="D32" s="13"/>
    </row>
    <row r="33" spans="1:4" x14ac:dyDescent="0.35">
      <c r="A33" s="100"/>
      <c r="B33" s="92" t="str">
        <f>Summary!$B164</f>
        <v/>
      </c>
      <c r="C33" s="20">
        <f>IF($B33="",0,Summary!$C164)</f>
        <v>0</v>
      </c>
      <c r="D33" s="13"/>
    </row>
    <row r="34" spans="1:4" x14ac:dyDescent="0.35">
      <c r="A34" s="100"/>
      <c r="B34" s="92" t="str">
        <f>Summary!$B165</f>
        <v/>
      </c>
      <c r="C34" s="20">
        <f>IF($B34="",0,Summary!$C165)</f>
        <v>0</v>
      </c>
      <c r="D34" s="13"/>
    </row>
    <row r="35" spans="1:4" x14ac:dyDescent="0.35">
      <c r="A35" s="100"/>
      <c r="B35" s="92" t="str">
        <f>Summary!$B166</f>
        <v/>
      </c>
      <c r="C35" s="20">
        <f>IF($B35="",0,Summary!$C166)</f>
        <v>0</v>
      </c>
      <c r="D35" s="13"/>
    </row>
    <row r="36" spans="1:4" x14ac:dyDescent="0.35">
      <c r="A36" s="100"/>
      <c r="B36" s="92" t="str">
        <f>Summary!$B167</f>
        <v/>
      </c>
      <c r="C36" s="20">
        <f>IF($B36="",0,Summary!$C167)</f>
        <v>0</v>
      </c>
      <c r="D36" s="13"/>
    </row>
    <row r="37" spans="1:4" x14ac:dyDescent="0.35">
      <c r="A37" s="100"/>
      <c r="B37" s="92" t="str">
        <f>Summary!$B168</f>
        <v/>
      </c>
      <c r="C37" s="20">
        <f>IF($B37="",0,Summary!$C168)</f>
        <v>0</v>
      </c>
      <c r="D37" s="13"/>
    </row>
    <row r="38" spans="1:4" x14ac:dyDescent="0.35">
      <c r="A38" s="100"/>
      <c r="B38" s="92" t="str">
        <f>Summary!$B169</f>
        <v/>
      </c>
      <c r="C38" s="20">
        <f>IF($B38="",0,Summary!$C169)</f>
        <v>0</v>
      </c>
      <c r="D38" s="13"/>
    </row>
    <row r="39" spans="1:4" x14ac:dyDescent="0.35">
      <c r="A39" s="100"/>
      <c r="B39" s="92" t="str">
        <f>Summary!$B170</f>
        <v/>
      </c>
      <c r="C39" s="20">
        <f>IF($B39="",0,Summary!$C170)</f>
        <v>0</v>
      </c>
      <c r="D39" s="13"/>
    </row>
    <row r="40" spans="1:4" x14ac:dyDescent="0.35">
      <c r="A40" s="100"/>
      <c r="B40" s="92" t="str">
        <f>Summary!$B171</f>
        <v/>
      </c>
      <c r="C40" s="20">
        <f>IF($B40="",0,Summary!$C171)</f>
        <v>0</v>
      </c>
      <c r="D40" s="13"/>
    </row>
    <row r="41" spans="1:4" x14ac:dyDescent="0.35">
      <c r="A41" s="100"/>
      <c r="B41" s="92" t="str">
        <f>Summary!$B172</f>
        <v/>
      </c>
      <c r="C41" s="20">
        <f>IF($B41="",0,Summary!$C172)</f>
        <v>0</v>
      </c>
      <c r="D41" s="13"/>
    </row>
    <row r="42" spans="1:4" x14ac:dyDescent="0.35">
      <c r="A42" s="100"/>
      <c r="B42" s="92" t="str">
        <f>Summary!$B173</f>
        <v/>
      </c>
      <c r="C42" s="20">
        <f>IF($B42="",0,Summary!$C173)</f>
        <v>0</v>
      </c>
      <c r="D42" s="13"/>
    </row>
    <row r="43" spans="1:4" x14ac:dyDescent="0.35">
      <c r="A43" s="100"/>
      <c r="B43" s="92" t="str">
        <f>Summary!$B174</f>
        <v/>
      </c>
      <c r="C43" s="20">
        <f>IF($B43="",0,Summary!$C174)</f>
        <v>0</v>
      </c>
      <c r="D43" s="13"/>
    </row>
    <row r="44" spans="1:4" x14ac:dyDescent="0.35">
      <c r="A44" s="100"/>
      <c r="B44" s="92" t="str">
        <f>Summary!$B175</f>
        <v/>
      </c>
      <c r="C44" s="20">
        <f>IF($B44="",0,Summary!$C175)</f>
        <v>0</v>
      </c>
      <c r="D44" s="13"/>
    </row>
    <row r="45" spans="1:4" x14ac:dyDescent="0.35">
      <c r="A45" s="100"/>
      <c r="B45" s="92" t="str">
        <f>Summary!$B176</f>
        <v/>
      </c>
      <c r="C45" s="20">
        <f>IF($B45="",0,Summary!$C176)</f>
        <v>0</v>
      </c>
      <c r="D45" s="13"/>
    </row>
    <row r="46" spans="1:4" x14ac:dyDescent="0.35">
      <c r="A46" s="100"/>
      <c r="B46" s="92" t="str">
        <f>Summary!$B177</f>
        <v/>
      </c>
      <c r="C46" s="20">
        <f>IF($B46="",0,Summary!$C177)</f>
        <v>0</v>
      </c>
      <c r="D46" s="13"/>
    </row>
    <row r="47" spans="1:4" x14ac:dyDescent="0.35">
      <c r="A47" s="100"/>
      <c r="B47" s="92" t="str">
        <f>Summary!$B178</f>
        <v/>
      </c>
      <c r="C47" s="20">
        <f>IF($B47="",0,Summary!$C178)</f>
        <v>0</v>
      </c>
      <c r="D47" s="13"/>
    </row>
    <row r="48" spans="1:4" x14ac:dyDescent="0.35">
      <c r="A48" s="100"/>
      <c r="B48" s="92" t="str">
        <f>Summary!$B179</f>
        <v/>
      </c>
      <c r="C48" s="20">
        <f>IF($B48="",0,Summary!$C179)</f>
        <v>0</v>
      </c>
      <c r="D48" s="13"/>
    </row>
    <row r="49" spans="1:4" x14ac:dyDescent="0.35">
      <c r="A49" s="100"/>
      <c r="B49" s="92" t="str">
        <f>Summary!$B180</f>
        <v/>
      </c>
      <c r="C49" s="20">
        <f>IF($B49="",0,Summary!$C180)</f>
        <v>0</v>
      </c>
      <c r="D49" s="13"/>
    </row>
    <row r="50" spans="1:4" x14ac:dyDescent="0.35">
      <c r="A50" s="100"/>
      <c r="B50" s="92" t="str">
        <f>Summary!$B181</f>
        <v/>
      </c>
      <c r="C50" s="20">
        <f>IF($B50="",0,Summary!$C181)</f>
        <v>0</v>
      </c>
      <c r="D50" s="13"/>
    </row>
    <row r="51" spans="1:4" x14ac:dyDescent="0.35">
      <c r="A51" s="100"/>
      <c r="B51" s="92" t="str">
        <f>Summary!$B182</f>
        <v/>
      </c>
      <c r="C51" s="20">
        <f>IF($B51="",0,Summary!$C182)</f>
        <v>0</v>
      </c>
      <c r="D51" s="13"/>
    </row>
    <row r="52" spans="1:4" x14ac:dyDescent="0.35">
      <c r="A52" s="100"/>
      <c r="B52" s="92" t="str">
        <f>Summary!$B183</f>
        <v/>
      </c>
      <c r="C52" s="20">
        <f>IF($B52="",0,Summary!$C183)</f>
        <v>0</v>
      </c>
      <c r="D52" s="13"/>
    </row>
    <row r="53" spans="1:4" x14ac:dyDescent="0.35">
      <c r="A53" s="100"/>
      <c r="B53" s="92" t="str">
        <f>Summary!$B184</f>
        <v/>
      </c>
      <c r="C53" s="20">
        <f>IF($B53="",0,Summary!$C184)</f>
        <v>0</v>
      </c>
      <c r="D53" s="13"/>
    </row>
    <row r="54" spans="1:4" x14ac:dyDescent="0.35">
      <c r="A54" s="100"/>
      <c r="B54" s="92" t="str">
        <f>Summary!$B185</f>
        <v/>
      </c>
      <c r="C54" s="20">
        <f>IF($B54="",0,Summary!$C185)</f>
        <v>0</v>
      </c>
      <c r="D54" s="13"/>
    </row>
    <row r="55" spans="1:4" x14ac:dyDescent="0.35">
      <c r="A55" s="100"/>
      <c r="B55" s="92" t="str">
        <f>Summary!$B186</f>
        <v/>
      </c>
      <c r="C55" s="20">
        <f>IF($B55="",0,Summary!$C186)</f>
        <v>0</v>
      </c>
      <c r="D55" s="13"/>
    </row>
    <row r="56" spans="1:4" x14ac:dyDescent="0.35">
      <c r="A56" s="100"/>
      <c r="B56" s="92" t="str">
        <f>Summary!$B187</f>
        <v/>
      </c>
      <c r="C56" s="20">
        <f>IF($B56="",0,Summary!$C187)</f>
        <v>0</v>
      </c>
      <c r="D56" s="13"/>
    </row>
    <row r="57" spans="1:4" x14ac:dyDescent="0.35">
      <c r="A57" s="100"/>
      <c r="B57" s="92" t="str">
        <f>Summary!$B188</f>
        <v/>
      </c>
      <c r="C57" s="20">
        <f>IF($B57="",0,Summary!$C188)</f>
        <v>0</v>
      </c>
      <c r="D57" s="13"/>
    </row>
    <row r="58" spans="1:4" x14ac:dyDescent="0.35">
      <c r="A58" s="100"/>
      <c r="B58" s="92" t="str">
        <f>Summary!$B189</f>
        <v/>
      </c>
      <c r="C58" s="20">
        <f>IF($B58="",0,Summary!$C189)</f>
        <v>0</v>
      </c>
      <c r="D58" s="13"/>
    </row>
    <row r="59" spans="1:4" x14ac:dyDescent="0.35">
      <c r="A59" s="100"/>
      <c r="B59" s="92"/>
      <c r="C59" s="20">
        <v>0</v>
      </c>
      <c r="D59" s="13"/>
    </row>
    <row r="60" spans="1:4" x14ac:dyDescent="0.35">
      <c r="A60" s="100"/>
      <c r="B60" s="92"/>
      <c r="C60" s="20">
        <v>0</v>
      </c>
      <c r="D60" s="13"/>
    </row>
    <row r="61" spans="1:4" ht="15" thickBot="1" x14ac:dyDescent="0.4">
      <c r="A61" s="100"/>
      <c r="B61" s="93"/>
      <c r="C61" s="83">
        <v>0</v>
      </c>
      <c r="D61" s="13"/>
    </row>
    <row r="62" spans="1:4" ht="15" thickBot="1" x14ac:dyDescent="0.4">
      <c r="A62" s="101"/>
      <c r="B62" s="52"/>
      <c r="C62" s="52"/>
      <c r="D62" s="14"/>
    </row>
  </sheetData>
  <sheetProtection algorithmName="SHA-256" hashValue="Q7aVZfvUoHHDVFwjiVBWVgAUx6LYdJCW1i1XEf8/4R4=" saltValue="wqtHLS+vhJq2lM0EpJWJ6w==" spinCount="100000" sheet="1" objects="1" scenarios="1"/>
  <mergeCells count="2">
    <mergeCell ref="B1:C1"/>
    <mergeCell ref="B2:C2"/>
  </mergeCells>
  <dataValidations count="2">
    <dataValidation allowBlank="1" showErrorMessage="1" error="That's wrong." prompt="That's wrong." sqref="B10 B1:B3" xr:uid="{00000000-0002-0000-0500-000000000000}"/>
    <dataValidation type="list" allowBlank="1" showInputMessage="1" promptTitle="Select LSP from list" sqref="B12:B61" xr:uid="{00000000-0002-0000-0500-000001000000}">
      <formula1>LSP_Name</formula1>
    </dataValidation>
  </dataValidations>
  <pageMargins left="0.7" right="0.7" top="0.75" bottom="0.75" header="0.3" footer="0.3"/>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63"/>
  <sheetViews>
    <sheetView topLeftCell="A25" workbookViewId="0">
      <selection activeCell="C67" sqref="C67"/>
    </sheetView>
  </sheetViews>
  <sheetFormatPr defaultRowHeight="14.5" x14ac:dyDescent="0.35"/>
  <cols>
    <col min="1" max="1" width="70.1796875" customWidth="1"/>
    <col min="4" max="4" width="54.54296875" customWidth="1"/>
  </cols>
  <sheetData>
    <row r="1" spans="1:1" ht="15.5" x14ac:dyDescent="0.35">
      <c r="A1" s="89" t="s">
        <v>125</v>
      </c>
    </row>
    <row r="2" spans="1:1" ht="15.5" x14ac:dyDescent="0.35">
      <c r="A2" s="90" t="s">
        <v>57</v>
      </c>
    </row>
    <row r="3" spans="1:1" ht="15.5" x14ac:dyDescent="0.35">
      <c r="A3" s="90" t="s">
        <v>0</v>
      </c>
    </row>
    <row r="4" spans="1:1" ht="15.5" x14ac:dyDescent="0.35">
      <c r="A4" s="90" t="s">
        <v>58</v>
      </c>
    </row>
    <row r="5" spans="1:1" ht="15.5" x14ac:dyDescent="0.35">
      <c r="A5" s="90" t="s">
        <v>59</v>
      </c>
    </row>
    <row r="6" spans="1:1" ht="15.5" x14ac:dyDescent="0.35">
      <c r="A6" s="90" t="s">
        <v>60</v>
      </c>
    </row>
    <row r="7" spans="1:1" ht="15.5" x14ac:dyDescent="0.35">
      <c r="A7" s="90" t="s">
        <v>61</v>
      </c>
    </row>
    <row r="8" spans="1:1" ht="15.5" x14ac:dyDescent="0.35">
      <c r="A8" s="90" t="s">
        <v>62</v>
      </c>
    </row>
    <row r="9" spans="1:1" ht="15.5" x14ac:dyDescent="0.35">
      <c r="A9" s="90" t="s">
        <v>63</v>
      </c>
    </row>
    <row r="10" spans="1:1" ht="15.5" x14ac:dyDescent="0.35">
      <c r="A10" s="90" t="s">
        <v>2</v>
      </c>
    </row>
    <row r="11" spans="1:1" ht="15.5" x14ac:dyDescent="0.35">
      <c r="A11" s="90" t="s">
        <v>64</v>
      </c>
    </row>
    <row r="12" spans="1:1" ht="15.5" x14ac:dyDescent="0.35">
      <c r="A12" s="90" t="s">
        <v>3</v>
      </c>
    </row>
    <row r="13" spans="1:1" ht="15.5" x14ac:dyDescent="0.35">
      <c r="A13" s="90" t="s">
        <v>123</v>
      </c>
    </row>
    <row r="14" spans="1:1" ht="15.5" x14ac:dyDescent="0.35">
      <c r="A14" s="90" t="s">
        <v>65</v>
      </c>
    </row>
    <row r="15" spans="1:1" ht="15.5" x14ac:dyDescent="0.35">
      <c r="A15" s="90" t="s">
        <v>66</v>
      </c>
    </row>
    <row r="16" spans="1:1" ht="15.5" x14ac:dyDescent="0.35">
      <c r="A16" s="90" t="s">
        <v>4</v>
      </c>
    </row>
    <row r="17" spans="1:1" ht="15.5" x14ac:dyDescent="0.35">
      <c r="A17" s="90" t="s">
        <v>67</v>
      </c>
    </row>
    <row r="18" spans="1:1" ht="15.5" x14ac:dyDescent="0.35">
      <c r="A18" s="90" t="s">
        <v>68</v>
      </c>
    </row>
    <row r="19" spans="1:1" ht="15.5" x14ac:dyDescent="0.35">
      <c r="A19" s="90" t="s">
        <v>69</v>
      </c>
    </row>
    <row r="20" spans="1:1" ht="15.5" x14ac:dyDescent="0.35">
      <c r="A20" s="90" t="s">
        <v>70</v>
      </c>
    </row>
    <row r="21" spans="1:1" ht="15.5" x14ac:dyDescent="0.35">
      <c r="A21" s="90" t="s">
        <v>71</v>
      </c>
    </row>
    <row r="22" spans="1:1" ht="15.5" x14ac:dyDescent="0.35">
      <c r="A22" s="90" t="s">
        <v>72</v>
      </c>
    </row>
    <row r="23" spans="1:1" ht="15.5" x14ac:dyDescent="0.35">
      <c r="A23" s="90" t="s">
        <v>73</v>
      </c>
    </row>
    <row r="24" spans="1:1" ht="15.5" x14ac:dyDescent="0.35">
      <c r="A24" s="90" t="s">
        <v>5</v>
      </c>
    </row>
    <row r="25" spans="1:1" ht="15.5" x14ac:dyDescent="0.35">
      <c r="A25" s="90" t="s">
        <v>74</v>
      </c>
    </row>
    <row r="26" spans="1:1" ht="15.5" x14ac:dyDescent="0.35">
      <c r="A26" s="90" t="s">
        <v>75</v>
      </c>
    </row>
    <row r="27" spans="1:1" ht="15.5" x14ac:dyDescent="0.35">
      <c r="A27" s="90" t="s">
        <v>76</v>
      </c>
    </row>
    <row r="28" spans="1:1" ht="15.5" x14ac:dyDescent="0.35">
      <c r="A28" s="90" t="s">
        <v>77</v>
      </c>
    </row>
    <row r="29" spans="1:1" ht="15.5" x14ac:dyDescent="0.35">
      <c r="A29" s="90" t="s">
        <v>78</v>
      </c>
    </row>
    <row r="30" spans="1:1" ht="15.5" x14ac:dyDescent="0.35">
      <c r="A30" s="90" t="s">
        <v>79</v>
      </c>
    </row>
    <row r="31" spans="1:1" ht="15.5" x14ac:dyDescent="0.35">
      <c r="A31" s="90" t="s">
        <v>6</v>
      </c>
    </row>
    <row r="32" spans="1:1" ht="15.5" x14ac:dyDescent="0.35">
      <c r="A32" s="90" t="s">
        <v>7</v>
      </c>
    </row>
    <row r="33" spans="1:1" ht="15.5" x14ac:dyDescent="0.35">
      <c r="A33" s="90" t="s">
        <v>80</v>
      </c>
    </row>
    <row r="34" spans="1:1" ht="15.5" x14ac:dyDescent="0.35">
      <c r="A34" s="90" t="s">
        <v>81</v>
      </c>
    </row>
    <row r="35" spans="1:1" ht="15.5" x14ac:dyDescent="0.35">
      <c r="A35" s="90" t="s">
        <v>82</v>
      </c>
    </row>
    <row r="36" spans="1:1" ht="15.5" x14ac:dyDescent="0.35">
      <c r="A36" s="90" t="s">
        <v>83</v>
      </c>
    </row>
    <row r="37" spans="1:1" ht="15.5" x14ac:dyDescent="0.35">
      <c r="A37" s="90" t="s">
        <v>84</v>
      </c>
    </row>
    <row r="38" spans="1:1" ht="15.5" x14ac:dyDescent="0.35">
      <c r="A38" s="90" t="s">
        <v>85</v>
      </c>
    </row>
    <row r="39" spans="1:1" ht="15.5" x14ac:dyDescent="0.35">
      <c r="A39" s="90" t="s">
        <v>86</v>
      </c>
    </row>
    <row r="40" spans="1:1" ht="15.5" x14ac:dyDescent="0.35">
      <c r="A40" s="90" t="s">
        <v>87</v>
      </c>
    </row>
    <row r="41" spans="1:1" ht="15.5" x14ac:dyDescent="0.35">
      <c r="A41" s="90" t="s">
        <v>8</v>
      </c>
    </row>
    <row r="42" spans="1:1" ht="15.5" x14ac:dyDescent="0.35">
      <c r="A42" s="90" t="s">
        <v>88</v>
      </c>
    </row>
    <row r="43" spans="1:1" ht="15.5" x14ac:dyDescent="0.35">
      <c r="A43" s="90" t="s">
        <v>89</v>
      </c>
    </row>
    <row r="44" spans="1:1" ht="15.5" x14ac:dyDescent="0.35">
      <c r="A44" s="90" t="s">
        <v>90</v>
      </c>
    </row>
    <row r="45" spans="1:1" ht="15.5" x14ac:dyDescent="0.35">
      <c r="A45" s="90" t="s">
        <v>91</v>
      </c>
    </row>
    <row r="46" spans="1:1" ht="15.5" x14ac:dyDescent="0.35">
      <c r="A46" s="90" t="s">
        <v>92</v>
      </c>
    </row>
    <row r="47" spans="1:1" ht="15.5" x14ac:dyDescent="0.35">
      <c r="A47" s="90" t="s">
        <v>93</v>
      </c>
    </row>
    <row r="48" spans="1:1" ht="15.5" x14ac:dyDescent="0.35">
      <c r="A48" s="90" t="s">
        <v>94</v>
      </c>
    </row>
    <row r="49" spans="1:1" ht="15.5" x14ac:dyDescent="0.35">
      <c r="A49" s="90" t="s">
        <v>95</v>
      </c>
    </row>
    <row r="50" spans="1:1" ht="15.5" x14ac:dyDescent="0.35">
      <c r="A50" s="90" t="s">
        <v>14</v>
      </c>
    </row>
    <row r="51" spans="1:1" ht="15.5" x14ac:dyDescent="0.35">
      <c r="A51" s="90" t="s">
        <v>124</v>
      </c>
    </row>
    <row r="52" spans="1:1" ht="15.5" x14ac:dyDescent="0.35">
      <c r="A52" s="90" t="s">
        <v>96</v>
      </c>
    </row>
    <row r="53" spans="1:1" ht="15.5" x14ac:dyDescent="0.35">
      <c r="A53" s="90" t="s">
        <v>97</v>
      </c>
    </row>
    <row r="54" spans="1:1" ht="15.5" x14ac:dyDescent="0.35">
      <c r="A54" s="90" t="s">
        <v>98</v>
      </c>
    </row>
    <row r="55" spans="1:1" ht="15.5" x14ac:dyDescent="0.35">
      <c r="A55" s="90" t="s">
        <v>99</v>
      </c>
    </row>
    <row r="56" spans="1:1" ht="15.5" x14ac:dyDescent="0.35">
      <c r="A56" s="90" t="s">
        <v>100</v>
      </c>
    </row>
    <row r="57" spans="1:1" ht="15.5" x14ac:dyDescent="0.35">
      <c r="A57" s="90" t="s">
        <v>9</v>
      </c>
    </row>
    <row r="58" spans="1:1" ht="15.5" x14ac:dyDescent="0.35">
      <c r="A58" s="90" t="s">
        <v>101</v>
      </c>
    </row>
    <row r="59" spans="1:1" ht="15.5" x14ac:dyDescent="0.35">
      <c r="A59" s="90" t="s">
        <v>102</v>
      </c>
    </row>
    <row r="60" spans="1:1" ht="15.5" x14ac:dyDescent="0.35">
      <c r="A60" s="90" t="s">
        <v>103</v>
      </c>
    </row>
    <row r="61" spans="1:1" ht="15.5" x14ac:dyDescent="0.35">
      <c r="A61" s="90" t="s">
        <v>104</v>
      </c>
    </row>
    <row r="62" spans="1:1" ht="15.5" x14ac:dyDescent="0.35">
      <c r="A62" s="90" t="s">
        <v>105</v>
      </c>
    </row>
    <row r="63" spans="1:1" ht="15.5" x14ac:dyDescent="0.35">
      <c r="A63" s="90" t="s">
        <v>106</v>
      </c>
    </row>
  </sheetData>
  <sheetProtection algorithmName="SHA-256" hashValue="7K/9z6t0gkPBURAhyLAJzKgnZKjNLTHc28GzLF67W+E=" saltValue="kfMAXYXgUe/42Kn/0t4YKg=="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2.xml><?xml version="1.0" encoding="utf-8"?>
<ds:datastoreItem xmlns:ds="http://schemas.openxmlformats.org/officeDocument/2006/customXml" ds:itemID="{FD489908-9B5F-4C49-8134-7D1FB1E5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FB764A-975B-439F-A8CC-680EDC63A12A}">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4.xml><?xml version="1.0" encoding="utf-8"?>
<ds:datastoreItem xmlns:ds="http://schemas.openxmlformats.org/officeDocument/2006/customXml" ds:itemID="{F52CCD94-742C-47C0-84CE-C67A40F70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Entry Form</vt:lpstr>
      <vt:lpstr>Summary</vt:lpstr>
      <vt:lpstr>Formulas</vt:lpstr>
      <vt:lpstr>Text</vt:lpstr>
      <vt:lpstr>Agency reporting template</vt:lpstr>
      <vt:lpstr>A - Professional Fees</vt:lpstr>
      <vt:lpstr>List of Law Firms</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LSP_Name</vt:lpstr>
      <vt:lpstr>malenumbers</vt:lpstr>
      <vt:lpstr>malesum</vt:lpstr>
      <vt:lpstr>O</vt:lpstr>
      <vt:lpstr>onthepanel</vt:lpstr>
      <vt:lpstr>panelfee</vt:lpstr>
      <vt:lpstr>'Agency reporting template'!Print_Area</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2023-09-27T22:39:57Z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ies>
</file>